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16\EDITAIS\CONCORRENCIA\"/>
    </mc:Choice>
  </mc:AlternateContent>
  <bookViews>
    <workbookView xWindow="-2055" yWindow="675" windowWidth="19440" windowHeight="8415"/>
  </bookViews>
  <sheets>
    <sheet name="Planilha" sheetId="20" r:id="rId1"/>
    <sheet name="Cronograma" sheetId="19" r:id="rId2"/>
    <sheet name="BDI" sheetId="23" r:id="rId3"/>
    <sheet name="OUTROS" sheetId="22" r:id="rId4"/>
    <sheet name="Plan1" sheetId="24" r:id="rId5"/>
  </sheets>
  <definedNames>
    <definedName name="_xlnm.Print_Area" localSheetId="1">Cronograma!$B$2:$K$27</definedName>
    <definedName name="_xlnm.Print_Area" localSheetId="3">OUTROS!$B$2:$E$25</definedName>
  </definedNames>
  <calcPr calcId="152511"/>
  <fileRecoveryPr autoRecover="0"/>
</workbook>
</file>

<file path=xl/calcChain.xml><?xml version="1.0" encoding="utf-8"?>
<calcChain xmlns="http://schemas.openxmlformats.org/spreadsheetml/2006/main">
  <c r="K17" i="20" l="1"/>
  <c r="F18" i="19"/>
  <c r="J22" i="20"/>
  <c r="J25" i="20"/>
  <c r="E13" i="24"/>
  <c r="E18" i="24" s="1"/>
  <c r="E10" i="24"/>
  <c r="E9" i="24"/>
  <c r="E8" i="24"/>
  <c r="E7" i="24"/>
  <c r="E11" i="24" s="1"/>
  <c r="I18" i="20"/>
  <c r="I12" i="20"/>
  <c r="J12" i="20"/>
  <c r="J15" i="20"/>
  <c r="J18" i="20"/>
  <c r="I15" i="20" l="1"/>
  <c r="I24" i="20"/>
  <c r="I21" i="20"/>
  <c r="I19" i="20"/>
  <c r="I6" i="20" l="1"/>
  <c r="J5" i="20"/>
  <c r="J13" i="20"/>
  <c r="F41" i="23" l="1"/>
  <c r="F36" i="23"/>
  <c r="F28" i="23"/>
  <c r="D10" i="23"/>
  <c r="E5" i="19" s="1"/>
  <c r="F12" i="19" l="1"/>
  <c r="H14" i="19" s="1"/>
  <c r="J23" i="20"/>
  <c r="F21" i="19" s="1"/>
  <c r="K23" i="19" s="1"/>
  <c r="J11" i="20"/>
  <c r="J9" i="20"/>
  <c r="F15" i="19" s="1"/>
  <c r="J8" i="20"/>
  <c r="I7" i="20"/>
  <c r="F9" i="19"/>
  <c r="J11" i="19" s="1"/>
  <c r="N5" i="20"/>
  <c r="N4" i="20"/>
  <c r="N3" i="20"/>
  <c r="I17" i="19" l="1"/>
  <c r="H17" i="19"/>
  <c r="H11" i="19"/>
  <c r="I23" i="19"/>
  <c r="J23" i="19"/>
  <c r="K11" i="19"/>
  <c r="I11" i="19"/>
  <c r="K20" i="19" l="1"/>
  <c r="K24" i="19" s="1"/>
  <c r="I20" i="19"/>
  <c r="I24" i="19" s="1"/>
  <c r="E31" i="19" s="1"/>
  <c r="F25" i="19"/>
  <c r="E34" i="19" s="1"/>
  <c r="D34" i="19" s="1"/>
  <c r="J20" i="19"/>
  <c r="J24" i="19"/>
  <c r="E32" i="19" s="1"/>
  <c r="H20" i="19"/>
  <c r="H24" i="19" s="1"/>
  <c r="E30" i="19" s="1"/>
  <c r="D32" i="19" l="1"/>
  <c r="K26" i="19"/>
  <c r="H25" i="19"/>
  <c r="H26" i="19" s="1"/>
  <c r="H27" i="19" s="1"/>
  <c r="D31" i="19"/>
  <c r="I26" i="19"/>
  <c r="E33" i="19"/>
  <c r="D33" i="19" s="1"/>
  <c r="J26" i="19"/>
  <c r="D30" i="19"/>
  <c r="I27" i="19" l="1"/>
  <c r="J27" i="19" s="1"/>
  <c r="K27" i="19" s="1"/>
  <c r="E35" i="19"/>
  <c r="I25" i="19"/>
  <c r="J25" i="19" s="1"/>
  <c r="K25" i="19" s="1"/>
  <c r="D21" i="19" s="1"/>
  <c r="D35" i="19"/>
  <c r="D18" i="19" l="1"/>
  <c r="D9" i="19"/>
  <c r="E9" i="19" s="1"/>
  <c r="D12" i="19"/>
  <c r="D15" i="19"/>
  <c r="E12" i="19" l="1"/>
  <c r="E15" i="19" s="1"/>
  <c r="E18" i="19" s="1"/>
  <c r="E21" i="19" s="1"/>
</calcChain>
</file>

<file path=xl/sharedStrings.xml><?xml version="1.0" encoding="utf-8"?>
<sst xmlns="http://schemas.openxmlformats.org/spreadsheetml/2006/main" count="206" uniqueCount="146">
  <si>
    <t>Contrapiso em argamassa traço 1:4 (cimento e areia), preparo mecânico com misturador 400Kg, aplicado em áreas molhadas sobre laje, aderido , espessura 2 cm, acabamento não reforçado.</t>
  </si>
  <si>
    <t>Leis sociais</t>
  </si>
  <si>
    <t>Oficial</t>
  </si>
  <si>
    <t>% parcial</t>
  </si>
  <si>
    <t>% acumul.</t>
  </si>
  <si>
    <t>DATA:</t>
  </si>
  <si>
    <t>Desembolso mensal</t>
  </si>
  <si>
    <t>Desembolso acumulado</t>
  </si>
  <si>
    <t>Porcentagem mensal</t>
  </si>
  <si>
    <t>Porcentagem acumulada</t>
  </si>
  <si>
    <t>barra</t>
  </si>
  <si>
    <t>R$</t>
  </si>
  <si>
    <t>Ajudante de encanador</t>
  </si>
  <si>
    <t>Impermeabilização com manta asfáltica 4mm</t>
  </si>
  <si>
    <t>Limpeza final da obra</t>
  </si>
  <si>
    <t>Ajudante especializado</t>
  </si>
  <si>
    <t>Proteção mecânica</t>
  </si>
  <si>
    <t>Total do Item</t>
  </si>
  <si>
    <t>Item</t>
  </si>
  <si>
    <t>Descrição</t>
  </si>
  <si>
    <t>Unidade</t>
  </si>
  <si>
    <t>Quantidade</t>
  </si>
  <si>
    <t>1.0</t>
  </si>
  <si>
    <t>2.0</t>
  </si>
  <si>
    <t>3.0</t>
  </si>
  <si>
    <t>4.0</t>
  </si>
  <si>
    <t>4.1</t>
  </si>
  <si>
    <t>4.2</t>
  </si>
  <si>
    <t>4.3</t>
  </si>
  <si>
    <t>5.0</t>
  </si>
  <si>
    <t>m²</t>
  </si>
  <si>
    <t>Mão-de-obra</t>
  </si>
  <si>
    <t>un</t>
  </si>
  <si>
    <t>Material</t>
  </si>
  <si>
    <t>Obra:</t>
  </si>
  <si>
    <t>Local:</t>
  </si>
  <si>
    <t>BDI</t>
  </si>
  <si>
    <t>LEIS SOCIAIS</t>
  </si>
  <si>
    <t>%</t>
  </si>
  <si>
    <t>Ajudante</t>
  </si>
  <si>
    <t>h</t>
  </si>
  <si>
    <t xml:space="preserve">Materiais/Serviços de impermeabilização </t>
  </si>
  <si>
    <t>SINAPI (87735)</t>
  </si>
  <si>
    <t>4.4</t>
  </si>
  <si>
    <t>B D I</t>
  </si>
  <si>
    <t>BENEFÍCIOS E DESPESAS INDIRETAS</t>
  </si>
  <si>
    <t>COMPONENTE</t>
  </si>
  <si>
    <t>INCIDÊNCIA</t>
  </si>
  <si>
    <t>A</t>
  </si>
  <si>
    <t>DESPESAS INDIRETAS</t>
  </si>
  <si>
    <t>Administração Central</t>
  </si>
  <si>
    <t>TC 036.076/2011-2 - folha 71</t>
  </si>
  <si>
    <t>Seguros + Garantias</t>
  </si>
  <si>
    <t>Riscos</t>
  </si>
  <si>
    <t>Despesas Financeiras</t>
  </si>
  <si>
    <t>B</t>
  </si>
  <si>
    <t>TRIBUTOS</t>
  </si>
  <si>
    <t>COFINS - Contribuição financiamento seguridade social</t>
  </si>
  <si>
    <t>PIS - Programa de Integração Social</t>
  </si>
  <si>
    <t>ISS - Imposto sobre serviço de qualquer natureza</t>
  </si>
  <si>
    <t>Contribuição Previdenciária sobre Receita Bruta</t>
  </si>
  <si>
    <t>Inserido por força da Lei 12.546, 14/12/2011</t>
  </si>
  <si>
    <t>C</t>
  </si>
  <si>
    <t>BONIFICAÇÃO</t>
  </si>
  <si>
    <t>Lucro</t>
  </si>
  <si>
    <t>de 1 a 30 dias</t>
  </si>
  <si>
    <t>de 31a 60 dias</t>
  </si>
  <si>
    <t>de 61 a 90 dias</t>
  </si>
  <si>
    <t>de 91 a 120 dias</t>
  </si>
  <si>
    <t>1º Mês</t>
  </si>
  <si>
    <t>2º Mês</t>
  </si>
  <si>
    <t>AC_2622_27_13_P - Folha 110</t>
  </si>
  <si>
    <t>Leis sociais M</t>
  </si>
  <si>
    <t>Placa da obra</t>
  </si>
  <si>
    <t>Retirada da impermeabilização existente: demolição e retirada de proteção mecânica e manta asfáltica</t>
  </si>
  <si>
    <t>Administração da Obra</t>
  </si>
  <si>
    <t>SINAPI (83738)</t>
  </si>
  <si>
    <t>Denver alcatrão ar, duas demãos</t>
  </si>
  <si>
    <t>SINAPI (73872/002)</t>
  </si>
  <si>
    <t>SINAPI (9537)</t>
  </si>
  <si>
    <t>SINAPI (74209/001)</t>
  </si>
  <si>
    <t>Engenheiro civil de obra pleno</t>
  </si>
  <si>
    <t>Encarregado geral</t>
  </si>
  <si>
    <t>SINAPI (90778)</t>
  </si>
  <si>
    <t>SINAPI (90776)</t>
  </si>
  <si>
    <t>Execução de canteiro de obras</t>
  </si>
  <si>
    <t>-</t>
  </si>
  <si>
    <t>SINAPI (73801/002)</t>
  </si>
  <si>
    <t>Custo (R$)</t>
  </si>
  <si>
    <t>TOTAL DA OBRA</t>
  </si>
  <si>
    <t xml:space="preserve">Total </t>
  </si>
  <si>
    <t>CRONOGRAMA FÍSICO-FINANCEIRO - IMPERMEABILIZAÇÃO ESPELHO D'ÁGUA DNPM SEDE</t>
  </si>
  <si>
    <t>ADMINISTRAÇÃO DA OBRA</t>
  </si>
  <si>
    <t>PLACA DA OBRA</t>
  </si>
  <si>
    <t>LIMPEZA DA OBRA</t>
  </si>
  <si>
    <t>CANTEIRO DE OBRAS</t>
  </si>
  <si>
    <t>Total do item</t>
  </si>
  <si>
    <t>SAUN, Q. 1 BL. B</t>
  </si>
  <si>
    <t>3° Mês</t>
  </si>
  <si>
    <t>4° Mês</t>
  </si>
  <si>
    <t>Impermeabilização Espelho D'água - DNPM Sede, Brasília-DF</t>
  </si>
  <si>
    <t>Discriminação</t>
  </si>
  <si>
    <t xml:space="preserve">Item </t>
  </si>
  <si>
    <t>1ª Medição</t>
  </si>
  <si>
    <t>2ª Medição</t>
  </si>
  <si>
    <t>3ª Medição</t>
  </si>
  <si>
    <t>4ª Medição</t>
  </si>
  <si>
    <t>Após Termo de Recebimento Definitivo</t>
  </si>
  <si>
    <t>% por medição</t>
  </si>
  <si>
    <t>Valor Medição</t>
  </si>
  <si>
    <t>TOTAL</t>
  </si>
  <si>
    <t>Medições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</si>
  <si>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</si>
  <si>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</si>
  <si>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</si>
  <si>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</si>
  <si>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</si>
  <si>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</si>
  <si>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</si>
  <si>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</si>
  <si>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</si>
  <si>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</si>
  <si>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</si>
  <si>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SINAPI (93207)</t>
  </si>
  <si>
    <t>Regularização de contrapiso</t>
  </si>
  <si>
    <t>Denvermanta Elastic - tipo III 4mm+ Denver alcatrão Ar (ou marcar similar)</t>
  </si>
  <si>
    <t>Papel kraft betumado</t>
  </si>
  <si>
    <t>taxa de tributos (COFINS, PIS, ISS, CPRB)</t>
  </si>
  <si>
    <t>SINAPI (74066/002)</t>
  </si>
  <si>
    <t>Mercado</t>
  </si>
  <si>
    <t>SINAPI (85423)</t>
  </si>
  <si>
    <t>Tela industrial de poliéster resinada (para áreas frias)</t>
  </si>
  <si>
    <t>Tela plástica (para superfícies verticais)</t>
  </si>
  <si>
    <t>SINAPI JUN/2016</t>
  </si>
  <si>
    <t>SINAPI (83753)</t>
  </si>
  <si>
    <t>2x2</t>
  </si>
  <si>
    <t>Perímetro</t>
  </si>
  <si>
    <t>m</t>
  </si>
  <si>
    <t>largura</t>
  </si>
  <si>
    <t>Prof</t>
  </si>
  <si>
    <t>Volume mastique</t>
  </si>
  <si>
    <t>m3</t>
  </si>
  <si>
    <t>SINAPI (74121/001)</t>
  </si>
  <si>
    <t>Junta de dilatação poliuretano</t>
  </si>
  <si>
    <t>IMPERMEABILIZAÇÃO</t>
  </si>
  <si>
    <t>Denverfix acrílico (ou marca similar)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</si>
</sst>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R$&quot;#,##0_);\(&quot;R$&quot;#,##0\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&quot;R$ &quot;#,##0.00"/>
    <numFmt numFmtId="168" formatCode="0.0000"/>
    <numFmt numFmtId="169" formatCode="&quot;R$&quot;\ #,##0.00"/>
    <numFmt numFmtId="170" formatCode="0.0%"/>
  </numFmts>
  <fonts count="43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1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18"/>
      <name val="Calibri"/>
      <family val="2"/>
    </font>
    <font>
      <sz val="11"/>
      <name val="Calibri"/>
      <family val="2"/>
    </font>
    <font>
      <sz val="10"/>
      <name val="Century Gothic"/>
      <family val="2"/>
    </font>
    <font>
      <sz val="10"/>
      <color indexed="18"/>
      <name val="Arial"/>
      <family val="2"/>
    </font>
    <font>
      <b/>
      <sz val="11"/>
      <color indexed="1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8"/>
      <name val="Calibri"/>
      <family val="2"/>
    </font>
    <font>
      <b/>
      <sz val="14"/>
      <color indexed="1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 tint="0.34998626667073579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</font>
    <font>
      <b/>
      <sz val="11"/>
      <color theme="1" tint="0.24997711111789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4" fillId="11" borderId="1" applyNumberFormat="0" applyAlignment="0" applyProtection="0"/>
    <xf numFmtId="43" fontId="25" fillId="0" borderId="0" applyFont="0" applyFill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0" fillId="16" borderId="0" applyNumberFormat="0" applyBorder="0" applyAlignment="0" applyProtection="0"/>
    <xf numFmtId="164" fontId="2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11" borderId="2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5" fontId="3" fillId="0" borderId="0" applyFill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9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4" fontId="0" fillId="0" borderId="0" xfId="0" applyNumberFormat="1"/>
    <xf numFmtId="10" fontId="0" fillId="0" borderId="0" xfId="0" applyNumberFormat="1"/>
    <xf numFmtId="4" fontId="4" fillId="17" borderId="15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 applyAlignment="1">
      <alignment vertical="center"/>
    </xf>
    <xf numFmtId="10" fontId="0" fillId="0" borderId="0" xfId="0" applyNumberFormat="1" applyBorder="1"/>
    <xf numFmtId="0" fontId="4" fillId="0" borderId="0" xfId="0" applyFont="1"/>
    <xf numFmtId="0" fontId="0" fillId="0" borderId="12" xfId="0" applyBorder="1"/>
    <xf numFmtId="49" fontId="4" fillId="17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3" xfId="0" applyBorder="1"/>
    <xf numFmtId="0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17" borderId="18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16" xfId="0" applyNumberFormat="1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10" fontId="0" fillId="21" borderId="25" xfId="0" applyNumberFormat="1" applyFill="1" applyBorder="1" applyAlignment="1">
      <alignment horizontal="center" vertical="center"/>
    </xf>
    <xf numFmtId="10" fontId="0" fillId="21" borderId="26" xfId="0" applyNumberFormat="1" applyFill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10" fontId="0" fillId="0" borderId="25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4" fontId="3" fillId="17" borderId="0" xfId="160" applyNumberFormat="1" applyFont="1" applyFill="1" applyBorder="1" applyAlignment="1" applyProtection="1">
      <alignment horizontal="center" vertical="center"/>
      <protection locked="0"/>
    </xf>
    <xf numFmtId="4" fontId="7" fillId="17" borderId="28" xfId="160" applyNumberFormat="1" applyFont="1" applyFill="1" applyBorder="1" applyAlignment="1" applyProtection="1">
      <alignment horizontal="center" wrapText="1"/>
      <protection locked="0"/>
    </xf>
    <xf numFmtId="10" fontId="5" fillId="0" borderId="18" xfId="0" applyNumberFormat="1" applyFont="1" applyBorder="1" applyAlignment="1">
      <alignment horizontal="center"/>
    </xf>
    <xf numFmtId="17" fontId="4" fillId="0" borderId="30" xfId="212" applyNumberFormat="1" applyFont="1" applyBorder="1" applyAlignment="1">
      <alignment horizontal="center" vertical="center"/>
    </xf>
    <xf numFmtId="0" fontId="4" fillId="19" borderId="18" xfId="0" applyFont="1" applyFill="1" applyBorder="1" applyAlignment="1">
      <alignment horizontal="center" vertical="center"/>
    </xf>
    <xf numFmtId="0" fontId="4" fillId="19" borderId="23" xfId="0" applyFont="1" applyFill="1" applyBorder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4" fillId="17" borderId="18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22" xfId="160" applyNumberFormat="1" applyFont="1" applyFill="1" applyBorder="1" applyAlignment="1" applyProtection="1">
      <alignment horizontal="center" vertical="center" wrapText="1"/>
      <protection locked="0"/>
    </xf>
    <xf numFmtId="0" fontId="5" fillId="19" borderId="29" xfId="0" applyFont="1" applyFill="1" applyBorder="1" applyAlignment="1">
      <alignment horizontal="center" vertical="center"/>
    </xf>
    <xf numFmtId="0" fontId="5" fillId="19" borderId="32" xfId="0" applyFont="1" applyFill="1" applyBorder="1" applyAlignment="1">
      <alignment horizontal="center" vertical="center"/>
    </xf>
    <xf numFmtId="0" fontId="3" fillId="17" borderId="11" xfId="0" applyNumberFormat="1" applyFont="1" applyFill="1" applyBorder="1" applyAlignment="1" applyProtection="1">
      <protection locked="0"/>
    </xf>
    <xf numFmtId="10" fontId="3" fillId="17" borderId="11" xfId="0" applyNumberFormat="1" applyFont="1" applyFill="1" applyBorder="1" applyAlignment="1" applyProtection="1">
      <alignment horizontal="center" vertical="center" wrapText="1"/>
      <protection locked="0"/>
    </xf>
    <xf numFmtId="10" fontId="3" fillId="17" borderId="11" xfId="0" applyNumberFormat="1" applyFont="1" applyFill="1" applyBorder="1" applyAlignment="1" applyProtection="1">
      <alignment horizontal="center" vertical="center"/>
      <protection locked="0"/>
    </xf>
    <xf numFmtId="4" fontId="3" fillId="17" borderId="11" xfId="160" applyNumberFormat="1" applyFont="1" applyFill="1" applyBorder="1" applyAlignment="1" applyProtection="1">
      <alignment horizontal="center" vertical="center"/>
      <protection locked="0"/>
    </xf>
    <xf numFmtId="43" fontId="0" fillId="0" borderId="0" xfId="0" applyNumberFormat="1" applyAlignment="1">
      <alignment horizontal="center" vertical="center"/>
    </xf>
    <xf numFmtId="0" fontId="27" fillId="19" borderId="34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22" borderId="7" xfId="0" applyFont="1" applyFill="1" applyBorder="1" applyAlignment="1">
      <alignment vertical="center"/>
    </xf>
    <xf numFmtId="2" fontId="29" fillId="22" borderId="7" xfId="0" applyNumberFormat="1" applyFont="1" applyFill="1" applyBorder="1" applyAlignment="1">
      <alignment vertical="center"/>
    </xf>
    <xf numFmtId="43" fontId="28" fillId="0" borderId="8" xfId="212" applyFont="1" applyBorder="1" applyAlignment="1">
      <alignment horizontal="center" vertical="center"/>
    </xf>
    <xf numFmtId="43" fontId="27" fillId="0" borderId="10" xfId="212" applyFont="1" applyFill="1" applyBorder="1" applyAlignment="1">
      <alignment horizontal="right" vertical="center"/>
    </xf>
    <xf numFmtId="0" fontId="29" fillId="0" borderId="10" xfId="0" applyFont="1" applyFill="1" applyBorder="1" applyAlignment="1">
      <alignment horizontal="justify" vertical="center" wrapText="1"/>
    </xf>
    <xf numFmtId="0" fontId="29" fillId="0" borderId="10" xfId="0" applyFont="1" applyFill="1" applyBorder="1" applyAlignment="1">
      <alignment horizontal="center" vertical="center"/>
    </xf>
    <xf numFmtId="43" fontId="27" fillId="0" borderId="10" xfId="212" applyFont="1" applyFill="1" applyBorder="1" applyAlignment="1">
      <alignment horizontal="center" vertical="center"/>
    </xf>
    <xf numFmtId="43" fontId="29" fillId="0" borderId="10" xfId="212" applyFont="1" applyFill="1" applyBorder="1" applyAlignment="1">
      <alignment horizontal="center" vertical="center"/>
    </xf>
    <xf numFmtId="43" fontId="29" fillId="0" borderId="10" xfId="212" applyFont="1" applyFill="1" applyBorder="1" applyAlignment="1">
      <alignment horizontal="right" vertical="center"/>
    </xf>
    <xf numFmtId="0" fontId="30" fillId="0" borderId="10" xfId="0" applyFont="1" applyFill="1" applyBorder="1" applyAlignment="1">
      <alignment horizontal="justify" vertical="center" wrapText="1"/>
    </xf>
    <xf numFmtId="0" fontId="30" fillId="0" borderId="10" xfId="0" applyFont="1" applyFill="1" applyBorder="1" applyAlignment="1">
      <alignment horizontal="center" vertical="center"/>
    </xf>
    <xf numFmtId="43" fontId="30" fillId="0" borderId="10" xfId="212" applyFont="1" applyFill="1" applyBorder="1" applyAlignment="1">
      <alignment horizontal="center" vertical="center"/>
    </xf>
    <xf numFmtId="43" fontId="30" fillId="0" borderId="10" xfId="212" applyFont="1" applyFill="1" applyBorder="1" applyAlignment="1">
      <alignment horizontal="right" vertical="center"/>
    </xf>
    <xf numFmtId="43" fontId="29" fillId="0" borderId="42" xfId="212" applyFont="1" applyFill="1" applyBorder="1" applyAlignment="1">
      <alignment horizontal="center" vertical="center"/>
    </xf>
    <xf numFmtId="43" fontId="29" fillId="0" borderId="45" xfId="212" applyFont="1" applyFill="1" applyBorder="1" applyAlignment="1">
      <alignment horizontal="center" vertical="center"/>
    </xf>
    <xf numFmtId="43" fontId="27" fillId="0" borderId="10" xfId="212" applyFont="1" applyFill="1" applyBorder="1" applyAlignment="1" applyProtection="1">
      <alignment horizontal="center" vertical="center" wrapText="1"/>
      <protection locked="0"/>
    </xf>
    <xf numFmtId="9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0" xfId="0" applyFont="1" applyFill="1" applyBorder="1" applyAlignment="1">
      <alignment vertical="center" wrapText="1"/>
    </xf>
    <xf numFmtId="0" fontId="27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justify" vertical="center" wrapText="1"/>
    </xf>
    <xf numFmtId="0" fontId="23" fillId="0" borderId="14" xfId="0" applyFont="1" applyFill="1" applyBorder="1" applyAlignment="1">
      <alignment horizontal="center" vertical="center" wrapText="1"/>
    </xf>
    <xf numFmtId="43" fontId="24" fillId="0" borderId="10" xfId="212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justify" vertical="center" wrapText="1"/>
    </xf>
    <xf numFmtId="0" fontId="23" fillId="0" borderId="10" xfId="0" applyFont="1" applyFill="1" applyBorder="1" applyAlignment="1">
      <alignment horizontal="center" vertical="center" wrapText="1"/>
    </xf>
    <xf numFmtId="9" fontId="2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9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3" fillId="0" borderId="41" xfId="0" applyFont="1" applyFill="1" applyBorder="1" applyAlignment="1">
      <alignment horizontal="center" vertical="center"/>
    </xf>
    <xf numFmtId="0" fontId="33" fillId="0" borderId="72" xfId="170" applyFont="1" applyBorder="1" applyAlignment="1">
      <alignment vertical="center"/>
    </xf>
    <xf numFmtId="168" fontId="34" fillId="0" borderId="0" xfId="170" applyNumberFormat="1" applyFont="1" applyAlignment="1">
      <alignment horizontal="center" vertical="center"/>
    </xf>
    <xf numFmtId="0" fontId="34" fillId="0" borderId="0" xfId="170" applyFont="1" applyAlignment="1">
      <alignment vertical="center"/>
    </xf>
    <xf numFmtId="0" fontId="3" fillId="0" borderId="0" xfId="169"/>
    <xf numFmtId="0" fontId="32" fillId="0" borderId="0" xfId="170"/>
    <xf numFmtId="0" fontId="35" fillId="0" borderId="72" xfId="170" applyFont="1" applyBorder="1" applyAlignment="1">
      <alignment vertical="center"/>
    </xf>
    <xf numFmtId="0" fontId="35" fillId="0" borderId="74" xfId="170" applyFont="1" applyBorder="1" applyAlignment="1">
      <alignment vertical="center"/>
    </xf>
    <xf numFmtId="0" fontId="35" fillId="0" borderId="75" xfId="170" applyFont="1" applyBorder="1" applyAlignment="1">
      <alignment vertical="center"/>
    </xf>
    <xf numFmtId="0" fontId="36" fillId="24" borderId="73" xfId="170" applyFont="1" applyFill="1" applyBorder="1" applyAlignment="1">
      <alignment horizontal="center" vertical="center"/>
    </xf>
    <xf numFmtId="168" fontId="36" fillId="0" borderId="0" xfId="170" applyNumberFormat="1" applyFont="1" applyAlignment="1">
      <alignment horizontal="center" vertical="center"/>
    </xf>
    <xf numFmtId="0" fontId="36" fillId="0" borderId="0" xfId="170" applyFont="1" applyAlignment="1">
      <alignment horizontal="center" vertical="center"/>
    </xf>
    <xf numFmtId="0" fontId="35" fillId="0" borderId="73" xfId="170" applyFont="1" applyBorder="1" applyAlignment="1">
      <alignment vertical="center"/>
    </xf>
    <xf numFmtId="0" fontId="36" fillId="0" borderId="73" xfId="170" applyFont="1" applyBorder="1" applyAlignment="1">
      <alignment horizontal="center" vertical="center"/>
    </xf>
    <xf numFmtId="0" fontId="37" fillId="0" borderId="73" xfId="170" applyFont="1" applyBorder="1" applyAlignment="1">
      <alignment vertical="center"/>
    </xf>
    <xf numFmtId="10" fontId="35" fillId="0" borderId="73" xfId="170" applyNumberFormat="1" applyFont="1" applyBorder="1" applyAlignment="1">
      <alignment vertical="center"/>
    </xf>
    <xf numFmtId="168" fontId="35" fillId="0" borderId="0" xfId="170" applyNumberFormat="1" applyFont="1" applyAlignment="1">
      <alignment horizontal="center" vertical="center"/>
    </xf>
    <xf numFmtId="0" fontId="36" fillId="24" borderId="72" xfId="170" applyFont="1" applyFill="1" applyBorder="1" applyAlignment="1">
      <alignment horizontal="center" vertical="center"/>
    </xf>
    <xf numFmtId="0" fontId="36" fillId="24" borderId="74" xfId="170" applyFont="1" applyFill="1" applyBorder="1" applyAlignment="1">
      <alignment horizontal="center" vertical="center"/>
    </xf>
    <xf numFmtId="10" fontId="36" fillId="24" borderId="75" xfId="170" applyNumberFormat="1" applyFont="1" applyFill="1" applyBorder="1" applyAlignment="1">
      <alignment horizontal="center" vertical="center"/>
    </xf>
    <xf numFmtId="10" fontId="35" fillId="0" borderId="73" xfId="170" applyNumberFormat="1" applyFont="1" applyFill="1" applyBorder="1" applyAlignment="1">
      <alignment vertical="center"/>
    </xf>
    <xf numFmtId="0" fontId="35" fillId="0" borderId="0" xfId="170" applyFont="1" applyAlignment="1">
      <alignment vertical="center"/>
    </xf>
    <xf numFmtId="10" fontId="36" fillId="24" borderId="73" xfId="170" applyNumberFormat="1" applyFont="1" applyFill="1" applyBorder="1" applyAlignment="1">
      <alignment horizontal="center" vertical="center"/>
    </xf>
    <xf numFmtId="0" fontId="36" fillId="0" borderId="72" xfId="170" applyFont="1" applyBorder="1" applyAlignment="1">
      <alignment vertical="center"/>
    </xf>
    <xf numFmtId="0" fontId="36" fillId="0" borderId="74" xfId="170" applyFont="1" applyBorder="1" applyAlignment="1">
      <alignment vertical="center"/>
    </xf>
    <xf numFmtId="0" fontId="36" fillId="0" borderId="75" xfId="170" applyFont="1" applyBorder="1" applyAlignment="1">
      <alignment vertical="center"/>
    </xf>
    <xf numFmtId="4" fontId="36" fillId="23" borderId="75" xfId="170" applyNumberFormat="1" applyFont="1" applyFill="1" applyBorder="1" applyAlignment="1">
      <alignment horizontal="center" vertical="center"/>
    </xf>
    <xf numFmtId="168" fontId="32" fillId="0" borderId="0" xfId="170" applyNumberFormat="1"/>
    <xf numFmtId="0" fontId="24" fillId="0" borderId="0" xfId="0" applyFont="1" applyAlignment="1">
      <alignment vertical="center"/>
    </xf>
    <xf numFmtId="0" fontId="24" fillId="0" borderId="44" xfId="0" applyFont="1" applyFill="1" applyBorder="1" applyAlignment="1">
      <alignment horizontal="center" vertical="center"/>
    </xf>
    <xf numFmtId="0" fontId="23" fillId="19" borderId="35" xfId="0" applyFont="1" applyFill="1" applyBorder="1" applyAlignment="1">
      <alignment horizontal="left" vertical="center"/>
    </xf>
    <xf numFmtId="0" fontId="23" fillId="23" borderId="35" xfId="0" applyFont="1" applyFill="1" applyBorder="1" applyAlignment="1">
      <alignment horizontal="left" vertical="center"/>
    </xf>
    <xf numFmtId="43" fontId="28" fillId="0" borderId="11" xfId="212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7" fillId="19" borderId="57" xfId="0" applyFont="1" applyFill="1" applyBorder="1" applyAlignment="1">
      <alignment horizontal="center" vertical="center" wrapText="1"/>
    </xf>
    <xf numFmtId="4" fontId="23" fillId="19" borderId="58" xfId="0" applyNumberFormat="1" applyFont="1" applyFill="1" applyBorder="1" applyAlignment="1">
      <alignment horizontal="right" vertical="center"/>
    </xf>
    <xf numFmtId="0" fontId="23" fillId="23" borderId="11" xfId="0" applyFont="1" applyFill="1" applyBorder="1" applyAlignment="1">
      <alignment horizontal="left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23" fillId="0" borderId="55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justify" vertical="center" wrapText="1"/>
    </xf>
    <xf numFmtId="43" fontId="27" fillId="0" borderId="42" xfId="212" applyFont="1" applyFill="1" applyBorder="1" applyAlignment="1" applyProtection="1">
      <alignment horizontal="center" vertical="center" wrapText="1"/>
      <protection locked="0"/>
    </xf>
    <xf numFmtId="9" fontId="23" fillId="0" borderId="45" xfId="0" applyNumberFormat="1" applyFont="1" applyFill="1" applyBorder="1" applyAlignment="1" applyProtection="1">
      <alignment horizontal="center" vertical="center" wrapText="1"/>
      <protection locked="0"/>
    </xf>
    <xf numFmtId="43" fontId="27" fillId="0" borderId="45" xfId="212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0" fontId="29" fillId="0" borderId="35" xfId="0" applyFont="1" applyFill="1" applyBorder="1" applyAlignment="1">
      <alignment horizontal="center" vertical="center"/>
    </xf>
    <xf numFmtId="43" fontId="29" fillId="0" borderId="35" xfId="212" applyFont="1" applyFill="1" applyBorder="1" applyAlignment="1">
      <alignment horizontal="center" vertical="center"/>
    </xf>
    <xf numFmtId="43" fontId="29" fillId="0" borderId="35" xfId="212" applyFont="1" applyFill="1" applyBorder="1" applyAlignment="1">
      <alignment horizontal="right" vertical="center"/>
    </xf>
    <xf numFmtId="43" fontId="22" fillId="0" borderId="38" xfId="212" applyFon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59" xfId="0" applyNumberForma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0" fontId="27" fillId="19" borderId="34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0" fontId="0" fillId="0" borderId="25" xfId="0" applyNumberFormat="1" applyFill="1" applyBorder="1" applyAlignment="1">
      <alignment horizontal="center" vertical="center"/>
    </xf>
    <xf numFmtId="10" fontId="0" fillId="25" borderId="25" xfId="0" applyNumberFormat="1" applyFill="1" applyBorder="1" applyAlignment="1">
      <alignment horizontal="center" vertical="center"/>
    </xf>
    <xf numFmtId="43" fontId="27" fillId="0" borderId="9" xfId="0" applyNumberFormat="1" applyFont="1" applyFill="1" applyBorder="1" applyAlignment="1">
      <alignment horizontal="center" vertical="center"/>
    </xf>
    <xf numFmtId="4" fontId="0" fillId="0" borderId="23" xfId="0" applyNumberFormat="1" applyBorder="1"/>
    <xf numFmtId="10" fontId="0" fillId="0" borderId="26" xfId="0" applyNumberFormat="1" applyFill="1" applyBorder="1" applyAlignment="1">
      <alignment horizontal="center" vertical="center"/>
    </xf>
    <xf numFmtId="10" fontId="0" fillId="25" borderId="26" xfId="0" applyNumberFormat="1" applyFill="1" applyBorder="1" applyAlignment="1">
      <alignment horizontal="center" vertical="center"/>
    </xf>
    <xf numFmtId="4" fontId="0" fillId="0" borderId="70" xfId="0" applyNumberFormat="1" applyBorder="1" applyAlignment="1">
      <alignment horizontal="center" vertical="center"/>
    </xf>
    <xf numFmtId="4" fontId="26" fillId="0" borderId="23" xfId="0" applyNumberFormat="1" applyFont="1" applyBorder="1" applyAlignment="1">
      <alignment horizontal="center" vertical="center"/>
    </xf>
    <xf numFmtId="10" fontId="26" fillId="0" borderId="71" xfId="0" applyNumberFormat="1" applyFont="1" applyBorder="1" applyAlignment="1">
      <alignment horizontal="center" vertical="center"/>
    </xf>
    <xf numFmtId="169" fontId="40" fillId="0" borderId="77" xfId="0" applyNumberFormat="1" applyFont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/>
    </xf>
    <xf numFmtId="9" fontId="40" fillId="0" borderId="76" xfId="0" applyNumberFormat="1" applyFont="1" applyBorder="1" applyAlignment="1">
      <alignment horizontal="center" vertical="center"/>
    </xf>
    <xf numFmtId="9" fontId="40" fillId="0" borderId="7" xfId="0" applyNumberFormat="1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20" fillId="0" borderId="80" xfId="0" applyFont="1" applyFill="1" applyBorder="1" applyAlignment="1">
      <alignment horizontal="center" vertical="center"/>
    </xf>
    <xf numFmtId="169" fontId="40" fillId="0" borderId="81" xfId="0" applyNumberFormat="1" applyFont="1" applyBorder="1" applyAlignment="1">
      <alignment horizontal="center" vertical="center"/>
    </xf>
    <xf numFmtId="0" fontId="20" fillId="0" borderId="82" xfId="0" applyFont="1" applyFill="1" applyBorder="1" applyAlignment="1">
      <alignment horizontal="center" vertical="center"/>
    </xf>
    <xf numFmtId="9" fontId="40" fillId="0" borderId="8" xfId="0" applyNumberFormat="1" applyFont="1" applyBorder="1" applyAlignment="1">
      <alignment horizontal="center" vertical="center"/>
    </xf>
    <xf numFmtId="169" fontId="40" fillId="0" borderId="83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170" fontId="36" fillId="24" borderId="75" xfId="170" applyNumberFormat="1" applyFont="1" applyFill="1" applyBorder="1" applyAlignment="1">
      <alignment horizontal="center" vertical="center"/>
    </xf>
    <xf numFmtId="0" fontId="0" fillId="23" borderId="89" xfId="0" applyFill="1" applyBorder="1" applyAlignment="1">
      <alignment horizontal="center"/>
    </xf>
    <xf numFmtId="0" fontId="0" fillId="23" borderId="90" xfId="0" applyFill="1" applyBorder="1"/>
    <xf numFmtId="0" fontId="0" fillId="23" borderId="91" xfId="0" applyFill="1" applyBorder="1"/>
    <xf numFmtId="0" fontId="0" fillId="23" borderId="92" xfId="0" applyFill="1" applyBorder="1" applyAlignment="1">
      <alignment horizontal="center"/>
    </xf>
    <xf numFmtId="0" fontId="0" fillId="23" borderId="0" xfId="0" applyFill="1" applyBorder="1"/>
    <xf numFmtId="0" fontId="0" fillId="23" borderId="68" xfId="0" applyFill="1" applyBorder="1"/>
    <xf numFmtId="0" fontId="0" fillId="23" borderId="93" xfId="0" applyFill="1" applyBorder="1" applyAlignment="1">
      <alignment horizontal="center"/>
    </xf>
    <xf numFmtId="0" fontId="0" fillId="23" borderId="94" xfId="0" applyFill="1" applyBorder="1"/>
    <xf numFmtId="0" fontId="0" fillId="23" borderId="95" xfId="0" applyFill="1" applyBorder="1"/>
    <xf numFmtId="0" fontId="41" fillId="24" borderId="96" xfId="0" applyFont="1" applyFill="1" applyBorder="1" applyAlignment="1">
      <alignment horizontal="center"/>
    </xf>
    <xf numFmtId="10" fontId="41" fillId="24" borderId="97" xfId="0" applyNumberFormat="1" applyFont="1" applyFill="1" applyBorder="1" applyAlignment="1">
      <alignment horizontal="left"/>
    </xf>
    <xf numFmtId="0" fontId="0" fillId="24" borderId="97" xfId="0" applyFill="1" applyBorder="1"/>
    <xf numFmtId="0" fontId="0" fillId="24" borderId="77" xfId="0" applyFill="1" applyBorder="1"/>
    <xf numFmtId="0" fontId="42" fillId="23" borderId="92" xfId="0" applyFont="1" applyFill="1" applyBorder="1" applyAlignment="1">
      <alignment horizontal="center" vertical="center"/>
    </xf>
    <xf numFmtId="43" fontId="0" fillId="23" borderId="0" xfId="213" applyFont="1" applyFill="1" applyBorder="1"/>
    <xf numFmtId="0" fontId="42" fillId="23" borderId="93" xfId="0" applyFont="1" applyFill="1" applyBorder="1" applyAlignment="1">
      <alignment horizontal="center" vertical="center"/>
    </xf>
    <xf numFmtId="2" fontId="0" fillId="23" borderId="94" xfId="213" applyNumberFormat="1" applyFont="1" applyFill="1" applyBorder="1"/>
    <xf numFmtId="0" fontId="33" fillId="0" borderId="72" xfId="170" applyFont="1" applyBorder="1" applyAlignment="1">
      <alignment horizontal="center" vertical="center"/>
    </xf>
    <xf numFmtId="0" fontId="35" fillId="0" borderId="72" xfId="170" applyFont="1" applyBorder="1" applyAlignment="1">
      <alignment horizontal="center" vertical="center"/>
    </xf>
    <xf numFmtId="0" fontId="35" fillId="0" borderId="73" xfId="170" applyFont="1" applyBorder="1" applyAlignment="1">
      <alignment horizontal="center" vertical="center"/>
    </xf>
    <xf numFmtId="0" fontId="35" fillId="0" borderId="0" xfId="170" applyFont="1" applyAlignment="1">
      <alignment vertical="center" wrapText="1"/>
    </xf>
    <xf numFmtId="0" fontId="24" fillId="0" borderId="10" xfId="0" applyFont="1" applyFill="1" applyBorder="1" applyAlignment="1">
      <alignment horizontal="center" vertical="center"/>
    </xf>
    <xf numFmtId="43" fontId="23" fillId="0" borderId="10" xfId="212" applyFont="1" applyFill="1" applyBorder="1" applyAlignment="1">
      <alignment horizontal="right" vertical="center"/>
    </xf>
    <xf numFmtId="169" fontId="23" fillId="19" borderId="58" xfId="0" applyNumberFormat="1" applyFont="1" applyFill="1" applyBorder="1" applyAlignment="1">
      <alignment horizontal="right" vertical="center"/>
    </xf>
    <xf numFmtId="169" fontId="30" fillId="0" borderId="40" xfId="212" applyNumberFormat="1" applyFont="1" applyFill="1" applyBorder="1" applyAlignment="1">
      <alignment horizontal="right" vertical="center"/>
    </xf>
    <xf numFmtId="169" fontId="27" fillId="0" borderId="40" xfId="212" applyNumberFormat="1" applyFont="1" applyFill="1" applyBorder="1" applyAlignment="1">
      <alignment horizontal="right" vertical="center"/>
    </xf>
    <xf numFmtId="169" fontId="27" fillId="0" borderId="47" xfId="212" applyNumberFormat="1" applyFont="1" applyFill="1" applyBorder="1" applyAlignment="1">
      <alignment horizontal="right" vertical="center"/>
    </xf>
    <xf numFmtId="169" fontId="27" fillId="0" borderId="43" xfId="212" applyNumberFormat="1" applyFont="1" applyFill="1" applyBorder="1" applyAlignment="1">
      <alignment horizontal="right" vertical="center"/>
    </xf>
    <xf numFmtId="169" fontId="27" fillId="0" borderId="46" xfId="212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3" fillId="0" borderId="48" xfId="0" applyFont="1" applyFill="1" applyBorder="1" applyAlignment="1">
      <alignment horizontal="center" vertical="center" wrapText="1"/>
    </xf>
    <xf numFmtId="0" fontId="23" fillId="0" borderId="51" xfId="0" applyFont="1" applyFill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0" fontId="28" fillId="0" borderId="51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43" fontId="28" fillId="0" borderId="48" xfId="212" applyFont="1" applyBorder="1" applyAlignment="1">
      <alignment horizontal="center" vertical="center"/>
    </xf>
    <xf numFmtId="43" fontId="28" fillId="0" borderId="51" xfId="212" applyFont="1" applyBorder="1" applyAlignment="1">
      <alignment horizontal="center" vertical="center"/>
    </xf>
    <xf numFmtId="43" fontId="22" fillId="0" borderId="37" xfId="212" applyFont="1" applyBorder="1" applyAlignment="1">
      <alignment horizontal="center" vertical="center"/>
    </xf>
    <xf numFmtId="43" fontId="28" fillId="0" borderId="49" xfId="212" applyFont="1" applyBorder="1" applyAlignment="1">
      <alignment horizontal="center" vertical="center"/>
    </xf>
    <xf numFmtId="43" fontId="28" fillId="0" borderId="50" xfId="212" applyFont="1" applyBorder="1" applyAlignment="1">
      <alignment horizontal="center" vertical="center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28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0" fontId="4" fillId="20" borderId="16" xfId="0" applyFont="1" applyFill="1" applyBorder="1" applyAlignment="1">
      <alignment horizontal="center" vertical="center" wrapText="1"/>
    </xf>
    <xf numFmtId="0" fontId="4" fillId="20" borderId="28" xfId="0" applyFont="1" applyFill="1" applyBorder="1" applyAlignment="1">
      <alignment horizontal="center" vertical="center" wrapText="1"/>
    </xf>
    <xf numFmtId="0" fontId="4" fillId="20" borderId="17" xfId="0" applyFont="1" applyFill="1" applyBorder="1" applyAlignment="1">
      <alignment horizontal="center" vertical="center" wrapText="1"/>
    </xf>
    <xf numFmtId="0" fontId="4" fillId="20" borderId="62" xfId="0" applyFont="1" applyFill="1" applyBorder="1" applyAlignment="1">
      <alignment horizontal="center" vertical="center"/>
    </xf>
    <xf numFmtId="0" fontId="4" fillId="20" borderId="56" xfId="0" applyFont="1" applyFill="1" applyBorder="1" applyAlignment="1">
      <alignment horizontal="center" vertical="center"/>
    </xf>
    <xf numFmtId="0" fontId="4" fillId="20" borderId="6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0" fontId="4" fillId="17" borderId="15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28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65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1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6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30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52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66" xfId="0" applyNumberFormat="1" applyFont="1" applyFill="1" applyBorder="1" applyAlignment="1" applyProtection="1">
      <alignment horizontal="center" vertical="center" wrapText="1"/>
      <protection locked="0"/>
    </xf>
    <xf numFmtId="10" fontId="4" fillId="18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18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8" borderId="31" xfId="160" applyNumberFormat="1" applyFont="1" applyFill="1" applyBorder="1" applyAlignment="1" applyProtection="1">
      <alignment horizontal="center" vertical="center" wrapText="1"/>
      <protection locked="0"/>
    </xf>
    <xf numFmtId="4" fontId="19" fillId="19" borderId="29" xfId="160" applyNumberFormat="1" applyFont="1" applyFill="1" applyBorder="1" applyAlignment="1" applyProtection="1">
      <alignment horizontal="center" vertical="center" wrapText="1"/>
      <protection locked="0"/>
    </xf>
    <xf numFmtId="4" fontId="19" fillId="19" borderId="28" xfId="160" applyNumberFormat="1" applyFont="1" applyFill="1" applyBorder="1" applyAlignment="1" applyProtection="1">
      <alignment horizontal="center" vertical="center" wrapText="1"/>
      <protection locked="0"/>
    </xf>
    <xf numFmtId="0" fontId="6" fillId="0" borderId="67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4" fontId="4" fillId="20" borderId="16" xfId="160" applyNumberFormat="1" applyFont="1" applyFill="1" applyBorder="1" applyAlignment="1">
      <alignment horizontal="center" vertical="center"/>
    </xf>
    <xf numFmtId="4" fontId="4" fillId="20" borderId="28" xfId="160" applyNumberFormat="1" applyFont="1" applyFill="1" applyBorder="1" applyAlignment="1">
      <alignment horizontal="center" vertical="center"/>
    </xf>
    <xf numFmtId="4" fontId="4" fillId="20" borderId="17" xfId="160" applyNumberFormat="1" applyFont="1" applyFill="1" applyBorder="1" applyAlignment="1">
      <alignment horizontal="center" vertical="center"/>
    </xf>
    <xf numFmtId="49" fontId="31" fillId="17" borderId="9" xfId="0" applyNumberFormat="1" applyFont="1" applyFill="1" applyBorder="1" applyAlignment="1" applyProtection="1">
      <alignment horizontal="center" vertical="center" wrapText="1"/>
      <protection locked="0"/>
    </xf>
    <xf numFmtId="49" fontId="31" fillId="17" borderId="6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9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68" xfId="0" applyNumberFormat="1" applyFont="1" applyFill="1" applyBorder="1" applyAlignment="1" applyProtection="1">
      <alignment horizontal="center" vertical="center" wrapText="1"/>
      <protection locked="0"/>
    </xf>
    <xf numFmtId="0" fontId="4" fillId="20" borderId="19" xfId="0" applyFont="1" applyFill="1" applyBorder="1" applyAlignment="1">
      <alignment horizontal="center" vertical="center"/>
    </xf>
    <xf numFmtId="0" fontId="4" fillId="20" borderId="64" xfId="0" applyFont="1" applyFill="1" applyBorder="1" applyAlignment="1">
      <alignment horizontal="center" vertical="center"/>
    </xf>
    <xf numFmtId="0" fontId="4" fillId="20" borderId="15" xfId="0" applyFont="1" applyFill="1" applyBorder="1" applyAlignment="1">
      <alignment horizontal="center" vertical="center" wrapText="1"/>
    </xf>
    <xf numFmtId="0" fontId="4" fillId="20" borderId="65" xfId="0" applyFont="1" applyFill="1" applyBorder="1" applyAlignment="1">
      <alignment horizontal="center" vertical="center" wrapText="1"/>
    </xf>
    <xf numFmtId="4" fontId="4" fillId="17" borderId="15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65" xfId="160" applyNumberFormat="1" applyFont="1" applyFill="1" applyBorder="1" applyAlignment="1" applyProtection="1">
      <alignment horizontal="center" vertical="center" wrapText="1"/>
      <protection locked="0"/>
    </xf>
    <xf numFmtId="49" fontId="4" fillId="18" borderId="62" xfId="0" applyNumberFormat="1" applyFont="1" applyFill="1" applyBorder="1" applyAlignment="1" applyProtection="1">
      <alignment horizontal="center" vertical="center" wrapText="1"/>
      <protection locked="0"/>
    </xf>
    <xf numFmtId="49" fontId="4" fillId="18" borderId="69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66" xfId="0" applyFont="1" applyBorder="1" applyAlignment="1">
      <alignment horizontal="left"/>
    </xf>
    <xf numFmtId="0" fontId="4" fillId="0" borderId="86" xfId="0" applyFont="1" applyBorder="1" applyAlignment="1">
      <alignment horizontal="left"/>
    </xf>
    <xf numFmtId="0" fontId="4" fillId="0" borderId="87" xfId="0" applyFont="1" applyBorder="1" applyAlignment="1">
      <alignment horizontal="left"/>
    </xf>
    <xf numFmtId="0" fontId="4" fillId="0" borderId="88" xfId="0" applyFont="1" applyBorder="1" applyAlignment="1">
      <alignment horizontal="left"/>
    </xf>
    <xf numFmtId="11" fontId="4" fillId="20" borderId="16" xfId="0" applyNumberFormat="1" applyFont="1" applyFill="1" applyBorder="1" applyAlignment="1">
      <alignment horizontal="center" vertical="center" wrapText="1"/>
    </xf>
    <xf numFmtId="0" fontId="4" fillId="0" borderId="84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85" xfId="0" applyFont="1" applyBorder="1" applyAlignment="1">
      <alignment horizontal="left"/>
    </xf>
    <xf numFmtId="0" fontId="33" fillId="0" borderId="74" xfId="170" applyFont="1" applyBorder="1" applyAlignment="1">
      <alignment horizontal="center" vertical="center"/>
    </xf>
    <xf numFmtId="0" fontId="33" fillId="0" borderId="75" xfId="170" applyFont="1" applyBorder="1" applyAlignment="1">
      <alignment horizontal="center" vertical="center"/>
    </xf>
    <xf numFmtId="0" fontId="39" fillId="0" borderId="72" xfId="170" applyFont="1" applyBorder="1" applyAlignment="1">
      <alignment horizontal="center" vertical="center"/>
    </xf>
    <xf numFmtId="0" fontId="39" fillId="0" borderId="74" xfId="170" applyFont="1" applyBorder="1" applyAlignment="1">
      <alignment horizontal="center" vertical="center"/>
    </xf>
    <xf numFmtId="0" fontId="39" fillId="0" borderId="75" xfId="170" applyFont="1" applyBorder="1" applyAlignment="1">
      <alignment horizontal="center" vertical="center"/>
    </xf>
    <xf numFmtId="0" fontId="35" fillId="0" borderId="0" xfId="170" applyFont="1" applyAlignment="1">
      <alignment horizontal="center" vertical="center"/>
    </xf>
    <xf numFmtId="0" fontId="35" fillId="0" borderId="0" xfId="170" applyFont="1" applyAlignment="1">
      <alignment horizontal="center" vertical="center" wrapText="1"/>
    </xf>
  </cellXfs>
  <cellStyles count="215">
    <cellStyle name="20% - Ênfase1" xfId="1"/>
    <cellStyle name="20% - Ênfase1 10" xfId="2"/>
    <cellStyle name="20% - Ênfase1 11" xfId="3"/>
    <cellStyle name="20% - Ênfase1 12" xfId="4"/>
    <cellStyle name="20% - Ênfase1 2" xfId="5"/>
    <cellStyle name="20% - Ênfase1 3" xfId="6"/>
    <cellStyle name="20% - Ênfase1 4" xfId="7"/>
    <cellStyle name="20% - Ênfase1 5" xfId="8"/>
    <cellStyle name="20% - Ênfase1 6" xfId="9"/>
    <cellStyle name="20% - Ênfase1 7" xfId="10"/>
    <cellStyle name="20% - Ênfase1 8" xfId="11"/>
    <cellStyle name="20% - Ênfase1 9" xfId="12"/>
    <cellStyle name="20% - Ênfase2" xfId="13"/>
    <cellStyle name="20% - Ênfase2 10" xfId="14"/>
    <cellStyle name="20% - Ênfase2 11" xfId="15"/>
    <cellStyle name="20% - Ênfase2 12" xfId="16"/>
    <cellStyle name="20% - Ênfase2 2" xfId="17"/>
    <cellStyle name="20% - Ênfase2 3" xfId="18"/>
    <cellStyle name="20% - Ênfase2 4" xfId="19"/>
    <cellStyle name="20% - Ênfase2 5" xfId="20"/>
    <cellStyle name="20% - Ênfase2 6" xfId="21"/>
    <cellStyle name="20% - Ênfase2 7" xfId="22"/>
    <cellStyle name="20% - Ênfase2 8" xfId="23"/>
    <cellStyle name="20% - Ênfase2 9" xfId="24"/>
    <cellStyle name="20% - Ênfase3" xfId="25"/>
    <cellStyle name="20% - Ênfase3 10" xfId="26"/>
    <cellStyle name="20% - Ênfase3 11" xfId="27"/>
    <cellStyle name="20% - Ênfase3 12" xfId="28"/>
    <cellStyle name="20% - Ênfase3 2" xfId="29"/>
    <cellStyle name="20% - Ênfase3 3" xfId="30"/>
    <cellStyle name="20% - Ênfase3 4" xfId="31"/>
    <cellStyle name="20% - Ênfase3 5" xfId="32"/>
    <cellStyle name="20% - Ênfase3 6" xfId="33"/>
    <cellStyle name="20% - Ênfase3 7" xfId="34"/>
    <cellStyle name="20% - Ênfase3 8" xfId="35"/>
    <cellStyle name="20% - Ênfase3 9" xfId="36"/>
    <cellStyle name="20% - Ênfase4" xfId="37"/>
    <cellStyle name="20% - Ênfase4 10" xfId="38"/>
    <cellStyle name="20% - Ênfase4 11" xfId="39"/>
    <cellStyle name="20% - Ênfase4 12" xfId="40"/>
    <cellStyle name="20% - Ênfase4 2" xfId="41"/>
    <cellStyle name="20% - Ênfase4 3" xfId="42"/>
    <cellStyle name="20% - Ênfase4 4" xfId="43"/>
    <cellStyle name="20% - Ênfase4 5" xfId="44"/>
    <cellStyle name="20% - Ênfase4 6" xfId="45"/>
    <cellStyle name="20% - Ênfase4 7" xfId="46"/>
    <cellStyle name="20% - Ênfase4 8" xfId="47"/>
    <cellStyle name="20% - Ênfase4 9" xfId="48"/>
    <cellStyle name="20% - Ênfase5" xfId="49"/>
    <cellStyle name="20% - Ênfase5 10" xfId="50"/>
    <cellStyle name="20% - Ênfase5 11" xfId="51"/>
    <cellStyle name="20% - Ênfase5 12" xfId="52"/>
    <cellStyle name="20% - Ênfase5 2" xfId="53"/>
    <cellStyle name="20% - Ênfase5 3" xfId="54"/>
    <cellStyle name="20% - Ênfase5 4" xfId="55"/>
    <cellStyle name="20% - Ênfase5 5" xfId="56"/>
    <cellStyle name="20% - Ênfase5 6" xfId="57"/>
    <cellStyle name="20% - Ênfase5 7" xfId="58"/>
    <cellStyle name="20% - Ênfase5 8" xfId="59"/>
    <cellStyle name="20% - Ênfase5 9" xfId="60"/>
    <cellStyle name="20% - Ênfase6" xfId="61"/>
    <cellStyle name="20% - Ênfase6 10" xfId="62"/>
    <cellStyle name="20% - Ênfase6 11" xfId="63"/>
    <cellStyle name="20% - Ênfase6 12" xfId="64"/>
    <cellStyle name="20% - Ênfase6 2" xfId="65"/>
    <cellStyle name="20% - Ênfase6 3" xfId="66"/>
    <cellStyle name="20% - Ênfase6 4" xfId="67"/>
    <cellStyle name="20% - Ênfase6 5" xfId="68"/>
    <cellStyle name="20% - Ênfase6 6" xfId="69"/>
    <cellStyle name="20% - Ênfase6 7" xfId="70"/>
    <cellStyle name="20% - Ênfase6 8" xfId="71"/>
    <cellStyle name="20% - Ênfase6 9" xfId="72"/>
    <cellStyle name="40% - Ênfase1" xfId="73"/>
    <cellStyle name="40% - Ênfase1 10" xfId="74"/>
    <cellStyle name="40% - Ênfase1 11" xfId="75"/>
    <cellStyle name="40% - Ênfase1 12" xfId="76"/>
    <cellStyle name="40% - Ênfase1 2" xfId="77"/>
    <cellStyle name="40% - Ênfase1 3" xfId="78"/>
    <cellStyle name="40% - Ênfase1 4" xfId="79"/>
    <cellStyle name="40% - Ênfase1 5" xfId="80"/>
    <cellStyle name="40% - Ênfase1 6" xfId="81"/>
    <cellStyle name="40% - Ênfase1 7" xfId="82"/>
    <cellStyle name="40% - Ênfase1 8" xfId="83"/>
    <cellStyle name="40% - Ênfase1 9" xfId="84"/>
    <cellStyle name="40% - Ênfase2" xfId="85"/>
    <cellStyle name="40% - Ênfase2 10" xfId="86"/>
    <cellStyle name="40% - Ênfase2 11" xfId="87"/>
    <cellStyle name="40% - Ênfase2 12" xfId="88"/>
    <cellStyle name="40% - Ênfase2 2" xfId="89"/>
    <cellStyle name="40% - Ênfase2 3" xfId="90"/>
    <cellStyle name="40% - Ênfase2 4" xfId="91"/>
    <cellStyle name="40% - Ênfase2 5" xfId="92"/>
    <cellStyle name="40% - Ênfase2 6" xfId="93"/>
    <cellStyle name="40% - Ênfase2 7" xfId="94"/>
    <cellStyle name="40% - Ênfase2 8" xfId="95"/>
    <cellStyle name="40% - Ênfase2 9" xfId="96"/>
    <cellStyle name="40% - Ênfase3" xfId="97"/>
    <cellStyle name="40% - Ênfase3 10" xfId="98"/>
    <cellStyle name="40% - Ênfase3 11" xfId="99"/>
    <cellStyle name="40% - Ênfase3 12" xfId="100"/>
    <cellStyle name="40% - Ênfase3 2" xfId="101"/>
    <cellStyle name="40% - Ênfase3 3" xfId="102"/>
    <cellStyle name="40% - Ênfase3 4" xfId="103"/>
    <cellStyle name="40% - Ênfase3 5" xfId="104"/>
    <cellStyle name="40% - Ênfase3 6" xfId="105"/>
    <cellStyle name="40% - Ênfase3 7" xfId="106"/>
    <cellStyle name="40% - Ênfase3 8" xfId="107"/>
    <cellStyle name="40% - Ênfase3 9" xfId="108"/>
    <cellStyle name="40% - Ênfase4" xfId="109"/>
    <cellStyle name="40% - Ênfase4 10" xfId="110"/>
    <cellStyle name="40% - Ênfase4 11" xfId="111"/>
    <cellStyle name="40% - Ênfase4 12" xfId="112"/>
    <cellStyle name="40% - Ênfase4 2" xfId="113"/>
    <cellStyle name="40% - Ênfase4 3" xfId="114"/>
    <cellStyle name="40% - Ênfase4 4" xfId="115"/>
    <cellStyle name="40% - Ênfase4 5" xfId="116"/>
    <cellStyle name="40% - Ênfase4 6" xfId="117"/>
    <cellStyle name="40% - Ênfase4 7" xfId="118"/>
    <cellStyle name="40% - Ênfase4 8" xfId="119"/>
    <cellStyle name="40% - Ênfase4 9" xfId="120"/>
    <cellStyle name="40% - Ênfase5" xfId="121"/>
    <cellStyle name="40% - Ênfase5 10" xfId="122"/>
    <cellStyle name="40% - Ênfase5 11" xfId="123"/>
    <cellStyle name="40% - Ênfase5 12" xfId="124"/>
    <cellStyle name="40% - Ênfase5 2" xfId="125"/>
    <cellStyle name="40% - Ênfase5 3" xfId="126"/>
    <cellStyle name="40% - Ênfase5 4" xfId="127"/>
    <cellStyle name="40% - Ênfase5 5" xfId="128"/>
    <cellStyle name="40% - Ênfase5 6" xfId="129"/>
    <cellStyle name="40% - Ênfase5 7" xfId="130"/>
    <cellStyle name="40% - Ênfase5 8" xfId="131"/>
    <cellStyle name="40% - Ênfase5 9" xfId="132"/>
    <cellStyle name="40% - Ênfase6" xfId="133"/>
    <cellStyle name="40% - Ênfase6 10" xfId="134"/>
    <cellStyle name="40% - Ênfase6 11" xfId="135"/>
    <cellStyle name="40% - Ênfase6 12" xfId="136"/>
    <cellStyle name="40% - Ênfase6 2" xfId="137"/>
    <cellStyle name="40% - Ênfase6 3" xfId="138"/>
    <cellStyle name="40% - Ênfase6 4" xfId="139"/>
    <cellStyle name="40% - Ênfase6 5" xfId="140"/>
    <cellStyle name="40% - Ênfase6 6" xfId="141"/>
    <cellStyle name="40% - Ênfase6 7" xfId="142"/>
    <cellStyle name="40% - Ênfase6 8" xfId="143"/>
    <cellStyle name="40% - Ênfase6 9" xfId="144"/>
    <cellStyle name="60% - Ênfase1" xfId="145"/>
    <cellStyle name="60% - Ênfase2" xfId="146"/>
    <cellStyle name="60% - Ênfase3" xfId="147"/>
    <cellStyle name="60% - Ênfase4" xfId="148"/>
    <cellStyle name="60% - Ênfase5" xfId="149"/>
    <cellStyle name="60% - Ênfase6" xfId="150"/>
    <cellStyle name="Cálculo" xfId="151"/>
    <cellStyle name="Comma 2" xfId="152"/>
    <cellStyle name="Ênfase1" xfId="153"/>
    <cellStyle name="Ênfase2" xfId="154"/>
    <cellStyle name="Ênfase3" xfId="155"/>
    <cellStyle name="Ênfase4" xfId="156"/>
    <cellStyle name="Ênfase5" xfId="157"/>
    <cellStyle name="Ênfase6" xfId="158"/>
    <cellStyle name="Incorreto" xfId="159"/>
    <cellStyle name="Moeda" xfId="160" builtinId="4"/>
    <cellStyle name="Moeda 15" xfId="161"/>
    <cellStyle name="Moeda 18" xfId="162"/>
    <cellStyle name="Moeda 20" xfId="163"/>
    <cellStyle name="Moeda 22" xfId="164"/>
    <cellStyle name="Moeda 5 2" xfId="165"/>
    <cellStyle name="Moeda 6 2" xfId="166"/>
    <cellStyle name="Moeda 7" xfId="167"/>
    <cellStyle name="Moeda 9" xfId="168"/>
    <cellStyle name="Normal" xfId="0" builtinId="0"/>
    <cellStyle name="Normal 10" xfId="169"/>
    <cellStyle name="Normal 10 2" xfId="170"/>
    <cellStyle name="Normal 10 3" xfId="171"/>
    <cellStyle name="Normal 11 2" xfId="172"/>
    <cellStyle name="Normal 11 3" xfId="173"/>
    <cellStyle name="Normal 12 2" xfId="174"/>
    <cellStyle name="Normal 13 2" xfId="175"/>
    <cellStyle name="Normal 2" xfId="176"/>
    <cellStyle name="Normal 3 2" xfId="177"/>
    <cellStyle name="Normal 3 3" xfId="178"/>
    <cellStyle name="Normal 4" xfId="179"/>
    <cellStyle name="Normal 5" xfId="180"/>
    <cellStyle name="Normal 5 2" xfId="181"/>
    <cellStyle name="Normal 6" xfId="182"/>
    <cellStyle name="Normal 6 2" xfId="183"/>
    <cellStyle name="Normal 7" xfId="184"/>
    <cellStyle name="Normal 7 2" xfId="185"/>
    <cellStyle name="Normal 8" xfId="186"/>
    <cellStyle name="Normal 8 2" xfId="187"/>
    <cellStyle name="Normal 9" xfId="188"/>
    <cellStyle name="Normal 9 2" xfId="189"/>
    <cellStyle name="Saída" xfId="190"/>
    <cellStyle name="Separador de milhares 11" xfId="191"/>
    <cellStyle name="Separador de milhares 11 2" xfId="192"/>
    <cellStyle name="Separador de milhares 12" xfId="193"/>
    <cellStyle name="Separador de milhares 12 2" xfId="194"/>
    <cellStyle name="Separador de milhares 2" xfId="195"/>
    <cellStyle name="Separador de milhares 2 2" xfId="196"/>
    <cellStyle name="Separador de milhares 2 3" xfId="197"/>
    <cellStyle name="Separador de milhares 3" xfId="198"/>
    <cellStyle name="Separador de milhares 4" xfId="199"/>
    <cellStyle name="Separador de milhares 7" xfId="200"/>
    <cellStyle name="Separador de milhares 7 2" xfId="201"/>
    <cellStyle name="Separador de milhares 8" xfId="202"/>
    <cellStyle name="Separador de milhares 9" xfId="203"/>
    <cellStyle name="Separador de milhares 9 2" xfId="204"/>
    <cellStyle name="Texto Explicativo" xfId="205"/>
    <cellStyle name="Título" xfId="206"/>
    <cellStyle name="Título 1" xfId="207"/>
    <cellStyle name="Título 1 1" xfId="208"/>
    <cellStyle name="Título 2" xfId="209"/>
    <cellStyle name="Título 3" xfId="210"/>
    <cellStyle name="Título 4" xfId="211"/>
    <cellStyle name="Vírgula" xfId="212" builtinId="3"/>
    <cellStyle name="Vírgula 2" xfId="213"/>
    <cellStyle name="Vírgula 3" xfId="2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104775</xdr:rowOff>
    </xdr:from>
    <xdr:to>
      <xdr:col>2</xdr:col>
      <xdr:colOff>2743200</xdr:colOff>
      <xdr:row>2</xdr:row>
      <xdr:rowOff>104775</xdr:rowOff>
    </xdr:to>
    <xdr:pic>
      <xdr:nvPicPr>
        <xdr:cNvPr id="122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628650"/>
          <a:ext cx="2647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4</xdr:row>
      <xdr:rowOff>47625</xdr:rowOff>
    </xdr:from>
    <xdr:to>
      <xdr:col>9</xdr:col>
      <xdr:colOff>123825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866775"/>
          <a:ext cx="53530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tabSelected="1" workbookViewId="0">
      <selection activeCell="D14" sqref="D14"/>
    </sheetView>
  </sheetViews>
  <sheetFormatPr defaultRowHeight="12.75" x14ac:dyDescent="0.2"/>
  <cols>
    <col min="2" max="2" width="6.140625" bestFit="1" customWidth="1"/>
    <col min="3" max="3" width="20.42578125" customWidth="1"/>
    <col min="4" max="4" width="40.5703125" bestFit="1" customWidth="1"/>
    <col min="6" max="6" width="12.85546875" bestFit="1" customWidth="1"/>
    <col min="8" max="8" width="12.7109375" customWidth="1"/>
    <col min="9" max="9" width="14.28515625" bestFit="1" customWidth="1"/>
    <col min="10" max="10" width="14.42578125" bestFit="1" customWidth="1"/>
    <col min="11" max="11" width="11.5703125" bestFit="1" customWidth="1"/>
    <col min="13" max="13" width="22" bestFit="1" customWidth="1"/>
    <col min="14" max="14" width="7" bestFit="1" customWidth="1"/>
  </cols>
  <sheetData>
    <row r="2" spans="2:14" ht="13.5" thickBot="1" x14ac:dyDescent="0.25"/>
    <row r="3" spans="2:14" ht="15" x14ac:dyDescent="0.2">
      <c r="B3" s="193" t="s">
        <v>18</v>
      </c>
      <c r="C3" s="195" t="s">
        <v>133</v>
      </c>
      <c r="D3" s="197" t="s">
        <v>19</v>
      </c>
      <c r="E3" s="199" t="s">
        <v>20</v>
      </c>
      <c r="F3" s="201" t="s">
        <v>21</v>
      </c>
      <c r="G3" s="203" t="s">
        <v>88</v>
      </c>
      <c r="H3" s="204"/>
      <c r="I3" s="204"/>
      <c r="J3" s="205"/>
      <c r="K3" s="192"/>
      <c r="M3" s="56" t="s">
        <v>39</v>
      </c>
      <c r="N3" s="57">
        <f>6.97/1.8487</f>
        <v>3.7702169091794233</v>
      </c>
    </row>
    <row r="4" spans="2:14" ht="15.75" thickBot="1" x14ac:dyDescent="0.25">
      <c r="B4" s="194"/>
      <c r="C4" s="196"/>
      <c r="D4" s="198"/>
      <c r="E4" s="200"/>
      <c r="F4" s="202"/>
      <c r="G4" s="58" t="s">
        <v>33</v>
      </c>
      <c r="H4" s="58" t="s">
        <v>31</v>
      </c>
      <c r="I4" s="58" t="s">
        <v>17</v>
      </c>
      <c r="J4" s="133" t="s">
        <v>90</v>
      </c>
      <c r="K4" s="192"/>
      <c r="M4" s="56" t="s">
        <v>15</v>
      </c>
      <c r="N4" s="57">
        <f>7.58/1.8487</f>
        <v>4.1001785038134901</v>
      </c>
    </row>
    <row r="5" spans="2:14" ht="15" x14ac:dyDescent="0.2">
      <c r="B5" s="81" t="s">
        <v>22</v>
      </c>
      <c r="C5" s="122"/>
      <c r="D5" s="75" t="s">
        <v>75</v>
      </c>
      <c r="E5" s="72"/>
      <c r="F5" s="71"/>
      <c r="G5" s="115"/>
      <c r="H5" s="115"/>
      <c r="J5" s="186">
        <f>I6+I7</f>
        <v>22808</v>
      </c>
      <c r="K5" s="117"/>
      <c r="M5" s="56" t="s">
        <v>2</v>
      </c>
      <c r="N5" s="57">
        <f>10.8/1.8487</f>
        <v>5.8419429869638124</v>
      </c>
    </row>
    <row r="6" spans="2:14" ht="15" x14ac:dyDescent="0.2">
      <c r="B6" s="123"/>
      <c r="C6" s="76" t="s">
        <v>83</v>
      </c>
      <c r="D6" s="78" t="s">
        <v>81</v>
      </c>
      <c r="E6" s="61" t="s">
        <v>40</v>
      </c>
      <c r="F6" s="63">
        <v>160</v>
      </c>
      <c r="G6" s="77" t="s">
        <v>86</v>
      </c>
      <c r="H6" s="63">
        <v>79.709999999999994</v>
      </c>
      <c r="I6" s="64">
        <f>H6*F6</f>
        <v>12753.599999999999</v>
      </c>
      <c r="J6" s="187"/>
      <c r="K6" s="117"/>
      <c r="M6" s="55" t="s">
        <v>12</v>
      </c>
      <c r="N6" s="55">
        <v>3.33</v>
      </c>
    </row>
    <row r="7" spans="2:14" ht="15" x14ac:dyDescent="0.2">
      <c r="B7" s="123"/>
      <c r="C7" s="76" t="s">
        <v>84</v>
      </c>
      <c r="D7" s="78" t="s">
        <v>82</v>
      </c>
      <c r="E7" s="61" t="s">
        <v>40</v>
      </c>
      <c r="F7" s="63">
        <v>640</v>
      </c>
      <c r="G7" s="77" t="s">
        <v>86</v>
      </c>
      <c r="H7" s="63">
        <v>15.71</v>
      </c>
      <c r="I7" s="64">
        <f>H7*F7</f>
        <v>10054.400000000001</v>
      </c>
      <c r="J7" s="187"/>
      <c r="K7" s="117"/>
      <c r="M7" s="55" t="s">
        <v>1</v>
      </c>
      <c r="N7" s="55">
        <v>0.84870000000000001</v>
      </c>
    </row>
    <row r="8" spans="2:14" ht="15" x14ac:dyDescent="0.2">
      <c r="B8" s="123" t="s">
        <v>23</v>
      </c>
      <c r="C8" s="76" t="s">
        <v>80</v>
      </c>
      <c r="D8" s="65" t="s">
        <v>73</v>
      </c>
      <c r="E8" s="80" t="s">
        <v>30</v>
      </c>
      <c r="F8" s="71">
        <v>3</v>
      </c>
      <c r="G8" s="63"/>
      <c r="H8" s="63"/>
      <c r="I8" s="59">
        <v>316.77999999999997</v>
      </c>
      <c r="J8" s="187">
        <f>I8*F8</f>
        <v>950.33999999999992</v>
      </c>
      <c r="K8" s="117"/>
      <c r="M8" s="111" t="s">
        <v>72</v>
      </c>
      <c r="N8" s="55">
        <v>0.49299999999999999</v>
      </c>
    </row>
    <row r="9" spans="2:14" ht="15.75" thickBot="1" x14ac:dyDescent="0.25">
      <c r="B9" s="83" t="s">
        <v>24</v>
      </c>
      <c r="C9" s="76" t="s">
        <v>123</v>
      </c>
      <c r="D9" s="124" t="s">
        <v>85</v>
      </c>
      <c r="E9" s="80" t="s">
        <v>30</v>
      </c>
      <c r="F9" s="125">
        <v>10</v>
      </c>
      <c r="G9" s="69"/>
      <c r="H9" s="69"/>
      <c r="I9" s="59">
        <v>496.91</v>
      </c>
      <c r="J9" s="188">
        <f>I9*F9</f>
        <v>4969.1000000000004</v>
      </c>
      <c r="K9" s="117"/>
      <c r="M9" s="116"/>
      <c r="N9" s="55"/>
    </row>
    <row r="10" spans="2:14" ht="15.75" thickBot="1" x14ac:dyDescent="0.25">
      <c r="B10" s="128" t="s">
        <v>25</v>
      </c>
      <c r="C10" s="129"/>
      <c r="D10" s="114" t="s">
        <v>41</v>
      </c>
      <c r="E10" s="130"/>
      <c r="F10" s="131"/>
      <c r="G10" s="131"/>
      <c r="H10" s="131"/>
      <c r="I10" s="132"/>
      <c r="J10" s="189"/>
      <c r="K10" s="118"/>
    </row>
    <row r="11" spans="2:14" ht="44.25" customHeight="1" x14ac:dyDescent="0.2">
      <c r="B11" s="112" t="s">
        <v>26</v>
      </c>
      <c r="C11" s="76" t="s">
        <v>87</v>
      </c>
      <c r="D11" s="121" t="s">
        <v>74</v>
      </c>
      <c r="E11" s="126" t="s">
        <v>30</v>
      </c>
      <c r="F11" s="127">
        <v>2902</v>
      </c>
      <c r="G11" s="70"/>
      <c r="H11" s="70"/>
      <c r="I11" s="59">
        <v>18.07</v>
      </c>
      <c r="J11" s="190">
        <f>I11*F11</f>
        <v>52439.14</v>
      </c>
      <c r="K11" s="118"/>
    </row>
    <row r="12" spans="2:14" ht="15" x14ac:dyDescent="0.2">
      <c r="B12" s="82" t="s">
        <v>27</v>
      </c>
      <c r="C12" s="76"/>
      <c r="D12" s="75" t="s">
        <v>124</v>
      </c>
      <c r="E12" s="72" t="s">
        <v>30</v>
      </c>
      <c r="F12" s="71">
        <v>2902</v>
      </c>
      <c r="G12" s="62"/>
      <c r="H12" s="62"/>
      <c r="I12" s="59">
        <f>I13+(F14*I14)</f>
        <v>61.05</v>
      </c>
      <c r="J12" s="187">
        <f>I12*F12</f>
        <v>177167.1</v>
      </c>
      <c r="K12" s="118"/>
    </row>
    <row r="13" spans="2:14" ht="75" x14ac:dyDescent="0.2">
      <c r="B13" s="82"/>
      <c r="C13" s="76" t="s">
        <v>42</v>
      </c>
      <c r="D13" s="60" t="s">
        <v>0</v>
      </c>
      <c r="E13" s="183" t="s">
        <v>30</v>
      </c>
      <c r="F13" s="63">
        <v>1</v>
      </c>
      <c r="G13" s="62"/>
      <c r="H13" s="62"/>
      <c r="I13" s="64">
        <v>28.45</v>
      </c>
      <c r="J13" s="187">
        <f>I13*F13</f>
        <v>28.45</v>
      </c>
      <c r="K13" s="118"/>
    </row>
    <row r="14" spans="2:14" ht="15" x14ac:dyDescent="0.2">
      <c r="B14" s="82"/>
      <c r="C14" s="76" t="s">
        <v>128</v>
      </c>
      <c r="D14" s="78" t="s">
        <v>145</v>
      </c>
      <c r="E14" s="61" t="s">
        <v>30</v>
      </c>
      <c r="F14" s="63">
        <v>0.5</v>
      </c>
      <c r="G14" s="62"/>
      <c r="H14" s="62"/>
      <c r="I14" s="64">
        <v>65.2</v>
      </c>
      <c r="J14" s="187"/>
      <c r="K14" s="118"/>
    </row>
    <row r="15" spans="2:14" ht="30" x14ac:dyDescent="0.2">
      <c r="B15" s="82" t="s">
        <v>28</v>
      </c>
      <c r="C15" s="73"/>
      <c r="D15" s="75" t="s">
        <v>125</v>
      </c>
      <c r="E15" s="66" t="s">
        <v>30</v>
      </c>
      <c r="F15" s="67">
        <v>2902</v>
      </c>
      <c r="G15" s="67"/>
      <c r="H15" s="67"/>
      <c r="I15" s="68">
        <f>I17+I16</f>
        <v>108.13</v>
      </c>
      <c r="J15" s="186">
        <f>I15*F15</f>
        <v>313793.26</v>
      </c>
      <c r="K15" s="118"/>
    </row>
    <row r="16" spans="2:14" ht="30" x14ac:dyDescent="0.2">
      <c r="B16" s="82"/>
      <c r="C16" s="79" t="s">
        <v>76</v>
      </c>
      <c r="D16" s="60" t="s">
        <v>13</v>
      </c>
      <c r="E16" s="61" t="s">
        <v>30</v>
      </c>
      <c r="F16" s="63">
        <v>1</v>
      </c>
      <c r="G16" s="63"/>
      <c r="H16" s="63"/>
      <c r="I16" s="64">
        <v>62.96</v>
      </c>
      <c r="J16" s="187"/>
      <c r="K16" s="74"/>
    </row>
    <row r="17" spans="2:13" ht="15" x14ac:dyDescent="0.2">
      <c r="B17" s="82"/>
      <c r="C17" s="79" t="s">
        <v>78</v>
      </c>
      <c r="D17" s="78" t="s">
        <v>77</v>
      </c>
      <c r="E17" s="61" t="s">
        <v>30</v>
      </c>
      <c r="F17" s="63">
        <v>1</v>
      </c>
      <c r="G17" s="63"/>
      <c r="H17" s="63"/>
      <c r="I17" s="64">
        <v>45.17</v>
      </c>
      <c r="J17" s="187"/>
      <c r="K17" s="141">
        <f>SUM(J11:J22)</f>
        <v>725591.4543333333</v>
      </c>
    </row>
    <row r="18" spans="2:13" ht="15" x14ac:dyDescent="0.2">
      <c r="B18" s="82" t="s">
        <v>43</v>
      </c>
      <c r="C18" s="79" t="s">
        <v>134</v>
      </c>
      <c r="D18" s="65" t="s">
        <v>16</v>
      </c>
      <c r="E18" s="66" t="s">
        <v>30</v>
      </c>
      <c r="F18" s="67">
        <v>2902</v>
      </c>
      <c r="G18" s="67"/>
      <c r="H18" s="67"/>
      <c r="I18" s="184">
        <f>31.82+I19+I20+I21</f>
        <v>45.693833333333338</v>
      </c>
      <c r="J18" s="186">
        <f>I18*F18</f>
        <v>132603.50433333335</v>
      </c>
      <c r="K18" s="118"/>
    </row>
    <row r="19" spans="2:13" ht="15" x14ac:dyDescent="0.2">
      <c r="B19" s="82"/>
      <c r="C19" s="76" t="s">
        <v>129</v>
      </c>
      <c r="D19" s="78" t="s">
        <v>126</v>
      </c>
      <c r="E19" s="183" t="s">
        <v>30</v>
      </c>
      <c r="F19" s="63">
        <v>1</v>
      </c>
      <c r="G19" s="62"/>
      <c r="H19" s="62"/>
      <c r="I19" s="64">
        <f>395/240</f>
        <v>1.6458333333333333</v>
      </c>
      <c r="J19" s="187"/>
      <c r="K19" s="118"/>
    </row>
    <row r="20" spans="2:13" ht="15" x14ac:dyDescent="0.2">
      <c r="B20" s="82"/>
      <c r="C20" s="76" t="s">
        <v>130</v>
      </c>
      <c r="D20" s="78" t="s">
        <v>132</v>
      </c>
      <c r="E20" s="61" t="s">
        <v>30</v>
      </c>
      <c r="F20" s="63">
        <v>0.2</v>
      </c>
      <c r="G20" s="62"/>
      <c r="H20" s="62"/>
      <c r="I20" s="64">
        <v>6.99</v>
      </c>
      <c r="J20" s="187"/>
      <c r="K20" s="118"/>
    </row>
    <row r="21" spans="2:13" ht="30" x14ac:dyDescent="0.2">
      <c r="B21" s="82"/>
      <c r="C21" s="76" t="s">
        <v>129</v>
      </c>
      <c r="D21" s="78" t="s">
        <v>131</v>
      </c>
      <c r="E21" s="61" t="s">
        <v>30</v>
      </c>
      <c r="F21" s="63">
        <v>1.4999999999999999E-2</v>
      </c>
      <c r="G21" s="62"/>
      <c r="H21" s="62"/>
      <c r="I21" s="64">
        <f>261.9/50</f>
        <v>5.2379999999999995</v>
      </c>
      <c r="J21" s="187"/>
      <c r="K21" s="118"/>
    </row>
    <row r="22" spans="2:13" ht="15" x14ac:dyDescent="0.2">
      <c r="B22" s="82"/>
      <c r="C22" s="76" t="s">
        <v>142</v>
      </c>
      <c r="D22" s="78" t="s">
        <v>143</v>
      </c>
      <c r="E22" s="183" t="s">
        <v>137</v>
      </c>
      <c r="F22" s="63">
        <v>3000</v>
      </c>
      <c r="G22" s="62"/>
      <c r="H22" s="62"/>
      <c r="I22" s="64">
        <v>16.52</v>
      </c>
      <c r="J22" s="187">
        <f>I22*F22</f>
        <v>49560</v>
      </c>
      <c r="K22" s="118"/>
    </row>
    <row r="23" spans="2:13" ht="15.75" thickBot="1" x14ac:dyDescent="0.25">
      <c r="B23" s="81" t="s">
        <v>29</v>
      </c>
      <c r="C23" s="76" t="s">
        <v>79</v>
      </c>
      <c r="D23" s="65" t="s">
        <v>14</v>
      </c>
      <c r="E23" s="191" t="s">
        <v>137</v>
      </c>
      <c r="F23" s="67">
        <v>2902</v>
      </c>
      <c r="G23" s="67"/>
      <c r="H23" s="67"/>
      <c r="I23" s="68">
        <v>1.89</v>
      </c>
      <c r="J23" s="187">
        <f>I23*F23</f>
        <v>5484.78</v>
      </c>
      <c r="K23" s="118"/>
    </row>
    <row r="24" spans="2:13" ht="15.75" thickBot="1" x14ac:dyDescent="0.25">
      <c r="B24" s="119"/>
      <c r="C24" s="53"/>
      <c r="D24" s="113" t="s">
        <v>36</v>
      </c>
      <c r="E24" s="53"/>
      <c r="F24" s="53"/>
      <c r="G24" s="53"/>
      <c r="H24" s="53"/>
      <c r="I24" s="137">
        <f>BDI!D10</f>
        <v>0.37218831812106812</v>
      </c>
      <c r="J24" s="120"/>
      <c r="K24" s="136"/>
    </row>
    <row r="25" spans="2:13" ht="15.75" thickBot="1" x14ac:dyDescent="0.25">
      <c r="B25" s="119"/>
      <c r="C25" s="53"/>
      <c r="D25" s="113" t="s">
        <v>89</v>
      </c>
      <c r="E25" s="53"/>
      <c r="F25" s="53"/>
      <c r="G25" s="53"/>
      <c r="H25" s="53"/>
      <c r="I25" s="53"/>
      <c r="J25" s="185">
        <f>SUM(J5:J23)*(1+I24)</f>
        <v>1042593.7259856645</v>
      </c>
      <c r="K25" s="54"/>
      <c r="M25" s="138"/>
    </row>
    <row r="29" spans="2:13" x14ac:dyDescent="0.2">
      <c r="D29" s="5"/>
      <c r="F29" s="138"/>
    </row>
    <row r="30" spans="2:13" x14ac:dyDescent="0.2">
      <c r="D30" s="5"/>
    </row>
    <row r="31" spans="2:13" x14ac:dyDescent="0.2">
      <c r="D31" s="5"/>
    </row>
    <row r="32" spans="2:13" x14ac:dyDescent="0.2">
      <c r="D32" s="5"/>
    </row>
    <row r="33" spans="4:4" x14ac:dyDescent="0.2">
      <c r="D33" s="5"/>
    </row>
    <row r="34" spans="4:4" x14ac:dyDescent="0.2">
      <c r="D34" s="5"/>
    </row>
  </sheetData>
  <mergeCells count="7">
    <mergeCell ref="K3:K4"/>
    <mergeCell ref="B3:B4"/>
    <mergeCell ref="C3:C4"/>
    <mergeCell ref="D3:D4"/>
    <mergeCell ref="E3:E4"/>
    <mergeCell ref="F3:F4"/>
    <mergeCell ref="G3:J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5"/>
  <sheetViews>
    <sheetView zoomScale="80" zoomScaleNormal="80" zoomScaleSheetLayoutView="30" workbookViewId="0">
      <selection activeCell="F18" sqref="F18:F20"/>
    </sheetView>
  </sheetViews>
  <sheetFormatPr defaultRowHeight="12.75" x14ac:dyDescent="0.2"/>
  <cols>
    <col min="2" max="2" width="8.85546875" style="3" customWidth="1"/>
    <col min="3" max="3" width="47" bestFit="1" customWidth="1"/>
    <col min="4" max="4" width="18.140625" bestFit="1" customWidth="1"/>
    <col min="5" max="5" width="17.85546875" style="1" bestFit="1" customWidth="1"/>
    <col min="6" max="6" width="17" style="3" customWidth="1"/>
    <col min="7" max="7" width="8.140625" style="3" customWidth="1"/>
    <col min="8" max="11" width="17.28515625" customWidth="1"/>
    <col min="13" max="13" width="15.42578125" bestFit="1" customWidth="1"/>
  </cols>
  <sheetData>
    <row r="1" spans="2:21" ht="13.5" thickBot="1" x14ac:dyDescent="0.25"/>
    <row r="2" spans="2:21" ht="27.75" customHeight="1" thickTop="1" thickBot="1" x14ac:dyDescent="0.25">
      <c r="B2" s="234" t="s">
        <v>91</v>
      </c>
      <c r="C2" s="235"/>
      <c r="D2" s="235"/>
      <c r="E2" s="235"/>
      <c r="F2" s="235"/>
      <c r="G2" s="235"/>
      <c r="H2" s="235"/>
      <c r="I2" s="235"/>
      <c r="J2" s="235"/>
      <c r="K2" s="236"/>
      <c r="L2" s="215"/>
      <c r="M2" s="216"/>
      <c r="N2" s="216"/>
      <c r="O2" s="216"/>
      <c r="P2" s="216"/>
      <c r="Q2" s="216"/>
      <c r="R2" s="216"/>
      <c r="S2" s="216"/>
      <c r="T2" s="216"/>
      <c r="U2" s="216"/>
    </row>
    <row r="3" spans="2:21" ht="13.5" customHeight="1" x14ac:dyDescent="0.2">
      <c r="B3" s="240"/>
      <c r="C3" s="241"/>
      <c r="D3" s="21" t="s">
        <v>34</v>
      </c>
      <c r="E3" s="242" t="s">
        <v>100</v>
      </c>
      <c r="F3" s="242"/>
      <c r="G3" s="242"/>
      <c r="H3" s="242"/>
      <c r="I3" s="242"/>
      <c r="J3" s="242"/>
      <c r="K3" s="243"/>
    </row>
    <row r="4" spans="2:21" ht="12.75" customHeight="1" x14ac:dyDescent="0.2">
      <c r="B4" s="244"/>
      <c r="C4" s="245"/>
      <c r="D4" s="21" t="s">
        <v>35</v>
      </c>
      <c r="E4" s="222" t="s">
        <v>97</v>
      </c>
      <c r="F4" s="223"/>
      <c r="G4" s="224"/>
      <c r="H4" s="24" t="s">
        <v>37</v>
      </c>
      <c r="I4" s="24"/>
      <c r="J4" s="38">
        <v>1.5751999999999999</v>
      </c>
      <c r="K4" s="142"/>
    </row>
    <row r="5" spans="2:21" ht="12.75" customHeight="1" thickBot="1" x14ac:dyDescent="0.25">
      <c r="B5" s="244"/>
      <c r="C5" s="245"/>
      <c r="D5" s="23" t="s">
        <v>36</v>
      </c>
      <c r="E5" s="225">
        <f>Planilha!I24</f>
        <v>0.37218831812106812</v>
      </c>
      <c r="F5" s="226"/>
      <c r="G5" s="227"/>
      <c r="H5" s="24" t="s">
        <v>5</v>
      </c>
      <c r="I5" s="39">
        <v>42417</v>
      </c>
      <c r="J5" s="10"/>
      <c r="K5" s="22"/>
    </row>
    <row r="6" spans="2:21" ht="12.95" customHeight="1" x14ac:dyDescent="0.2">
      <c r="B6" s="252" t="s">
        <v>102</v>
      </c>
      <c r="C6" s="254" t="s">
        <v>101</v>
      </c>
      <c r="D6" s="228" t="s">
        <v>3</v>
      </c>
      <c r="E6" s="228" t="s">
        <v>4</v>
      </c>
      <c r="F6" s="230" t="s">
        <v>96</v>
      </c>
      <c r="G6" s="232" t="s">
        <v>32</v>
      </c>
      <c r="H6" s="40" t="s">
        <v>69</v>
      </c>
      <c r="I6" s="40" t="s">
        <v>70</v>
      </c>
      <c r="J6" s="40" t="s">
        <v>98</v>
      </c>
      <c r="K6" s="41" t="s">
        <v>99</v>
      </c>
    </row>
    <row r="7" spans="2:21" ht="12.95" customHeight="1" x14ac:dyDescent="0.2">
      <c r="B7" s="253"/>
      <c r="C7" s="255"/>
      <c r="D7" s="229"/>
      <c r="E7" s="229"/>
      <c r="F7" s="231"/>
      <c r="G7" s="233"/>
      <c r="H7" s="46" t="s">
        <v>65</v>
      </c>
      <c r="I7" s="46" t="s">
        <v>66</v>
      </c>
      <c r="J7" s="46" t="s">
        <v>67</v>
      </c>
      <c r="K7" s="47" t="s">
        <v>68</v>
      </c>
    </row>
    <row r="8" spans="2:21" ht="1.5" customHeight="1" thickBot="1" x14ac:dyDescent="0.25">
      <c r="B8" s="17"/>
      <c r="C8" s="48"/>
      <c r="D8" s="49"/>
      <c r="E8" s="50"/>
      <c r="F8" s="51"/>
      <c r="G8" s="36"/>
      <c r="H8" s="4"/>
      <c r="I8" s="4"/>
      <c r="J8" s="4"/>
      <c r="K8" s="16"/>
    </row>
    <row r="9" spans="2:21" ht="30" customHeight="1" x14ac:dyDescent="0.2">
      <c r="B9" s="246" t="s">
        <v>22</v>
      </c>
      <c r="C9" s="248" t="s">
        <v>92</v>
      </c>
      <c r="D9" s="217">
        <f>F9/$K$25</f>
        <v>3.0018280735496821E-2</v>
      </c>
      <c r="E9" s="217">
        <f>D9</f>
        <v>3.0018280735496821E-2</v>
      </c>
      <c r="F9" s="250">
        <f>Planilha!J5*(1+E5)</f>
        <v>31296.871159705322</v>
      </c>
      <c r="G9" s="8" t="s">
        <v>38</v>
      </c>
      <c r="H9" s="25">
        <v>0.25</v>
      </c>
      <c r="I9" s="25">
        <v>0.25</v>
      </c>
      <c r="J9" s="25">
        <v>0.25</v>
      </c>
      <c r="K9" s="26">
        <v>0.25</v>
      </c>
      <c r="M9" s="6"/>
    </row>
    <row r="10" spans="2:21" ht="9.9499999999999993" customHeight="1" x14ac:dyDescent="0.2">
      <c r="B10" s="213"/>
      <c r="C10" s="210"/>
      <c r="D10" s="218"/>
      <c r="E10" s="218"/>
      <c r="F10" s="207"/>
      <c r="G10" s="37" t="s">
        <v>10</v>
      </c>
      <c r="H10" s="27"/>
      <c r="I10" s="27"/>
      <c r="J10" s="27"/>
      <c r="K10" s="28"/>
      <c r="M10" s="5"/>
    </row>
    <row r="11" spans="2:21" ht="30" customHeight="1" thickBot="1" x14ac:dyDescent="0.25">
      <c r="B11" s="247"/>
      <c r="C11" s="249"/>
      <c r="D11" s="219"/>
      <c r="E11" s="219"/>
      <c r="F11" s="251"/>
      <c r="G11" s="9" t="s">
        <v>11</v>
      </c>
      <c r="H11" s="29">
        <f>H9*$F$9</f>
        <v>7824.2177899263306</v>
      </c>
      <c r="I11" s="29">
        <f>I9*$F$9</f>
        <v>7824.2177899263306</v>
      </c>
      <c r="J11" s="29">
        <f>J9*$F$9</f>
        <v>7824.2177899263306</v>
      </c>
      <c r="K11" s="30">
        <f>K9*$F$9</f>
        <v>7824.2177899263306</v>
      </c>
      <c r="M11" s="5"/>
    </row>
    <row r="12" spans="2:21" ht="30" customHeight="1" x14ac:dyDescent="0.2">
      <c r="B12" s="212" t="s">
        <v>23</v>
      </c>
      <c r="C12" s="209" t="s">
        <v>93</v>
      </c>
      <c r="D12" s="217">
        <f>F12/$K$25</f>
        <v>1.2507704715087708E-3</v>
      </c>
      <c r="E12" s="220">
        <f>D12+E9</f>
        <v>3.1269051207005592E-2</v>
      </c>
      <c r="F12" s="206">
        <f>Planilha!J8*(1+E5)</f>
        <v>1304.0454462431758</v>
      </c>
      <c r="G12" s="8" t="s">
        <v>38</v>
      </c>
      <c r="H12" s="25">
        <v>1</v>
      </c>
      <c r="I12" s="134"/>
      <c r="J12" s="134"/>
      <c r="K12" s="135"/>
      <c r="M12" s="5"/>
    </row>
    <row r="13" spans="2:21" ht="10.5" customHeight="1" x14ac:dyDescent="0.2">
      <c r="B13" s="213"/>
      <c r="C13" s="210"/>
      <c r="D13" s="218"/>
      <c r="E13" s="218"/>
      <c r="F13" s="207"/>
      <c r="G13" s="37" t="s">
        <v>10</v>
      </c>
      <c r="H13" s="27"/>
      <c r="I13" s="134"/>
      <c r="J13" s="134"/>
      <c r="K13" s="135"/>
      <c r="M13" s="5"/>
    </row>
    <row r="14" spans="2:21" ht="30" customHeight="1" thickBot="1" x14ac:dyDescent="0.25">
      <c r="B14" s="214"/>
      <c r="C14" s="211"/>
      <c r="D14" s="219"/>
      <c r="E14" s="221"/>
      <c r="F14" s="208"/>
      <c r="G14" s="9" t="s">
        <v>11</v>
      </c>
      <c r="H14" s="29">
        <f>H12*$F$12</f>
        <v>1304.0454462431758</v>
      </c>
      <c r="I14" s="134"/>
      <c r="J14" s="134"/>
      <c r="K14" s="135"/>
      <c r="M14" s="5"/>
    </row>
    <row r="15" spans="2:21" ht="30" customHeight="1" x14ac:dyDescent="0.2">
      <c r="B15" s="212" t="s">
        <v>24</v>
      </c>
      <c r="C15" s="209" t="s">
        <v>95</v>
      </c>
      <c r="D15" s="217">
        <f>F15/$K$25</f>
        <v>6.5399789022604904E-3</v>
      </c>
      <c r="E15" s="220">
        <f>D15+E12</f>
        <v>3.7809030109266083E-2</v>
      </c>
      <c r="F15" s="237">
        <f>Planilha!J9*(1+E5)</f>
        <v>6818.5409715754004</v>
      </c>
      <c r="G15" s="8" t="s">
        <v>38</v>
      </c>
      <c r="H15" s="25">
        <v>0.85</v>
      </c>
      <c r="I15" s="25">
        <v>0.15</v>
      </c>
      <c r="J15" s="25"/>
      <c r="K15" s="26"/>
      <c r="M15" s="5"/>
    </row>
    <row r="16" spans="2:21" ht="9.9499999999999993" customHeight="1" x14ac:dyDescent="0.2">
      <c r="B16" s="213"/>
      <c r="C16" s="210"/>
      <c r="D16" s="218"/>
      <c r="E16" s="218"/>
      <c r="F16" s="238"/>
      <c r="G16" s="37" t="s">
        <v>10</v>
      </c>
      <c r="H16" s="27"/>
      <c r="I16" s="27"/>
      <c r="J16" s="139"/>
      <c r="K16" s="143"/>
      <c r="M16" s="5"/>
    </row>
    <row r="17" spans="2:13" ht="30" customHeight="1" thickBot="1" x14ac:dyDescent="0.25">
      <c r="B17" s="214"/>
      <c r="C17" s="211"/>
      <c r="D17" s="219"/>
      <c r="E17" s="221"/>
      <c r="F17" s="239"/>
      <c r="G17" s="9" t="s">
        <v>11</v>
      </c>
      <c r="H17" s="29">
        <f>H15*$F$15</f>
        <v>5795.7598258390899</v>
      </c>
      <c r="I17" s="29">
        <f>I15*$F$15</f>
        <v>1022.78114573631</v>
      </c>
      <c r="J17" s="29"/>
      <c r="K17" s="30"/>
      <c r="M17" s="5"/>
    </row>
    <row r="18" spans="2:13" ht="30" customHeight="1" x14ac:dyDescent="0.2">
      <c r="B18" s="212" t="s">
        <v>25</v>
      </c>
      <c r="C18" s="209" t="s">
        <v>144</v>
      </c>
      <c r="D18" s="217">
        <f>F18/$K$25</f>
        <v>0.9549722893482735</v>
      </c>
      <c r="E18" s="220">
        <f>D18+E15</f>
        <v>0.99278131945753956</v>
      </c>
      <c r="F18" s="237">
        <f>Planilha!K17*(1+E5)</f>
        <v>995648.11736467644</v>
      </c>
      <c r="G18" s="8" t="s">
        <v>38</v>
      </c>
      <c r="H18" s="25">
        <v>0.25</v>
      </c>
      <c r="I18" s="25">
        <v>0.25</v>
      </c>
      <c r="J18" s="25">
        <v>0.25</v>
      </c>
      <c r="K18" s="26">
        <v>0.25</v>
      </c>
      <c r="M18" s="5"/>
    </row>
    <row r="19" spans="2:13" ht="11.25" customHeight="1" x14ac:dyDescent="0.2">
      <c r="B19" s="213"/>
      <c r="C19" s="210"/>
      <c r="D19" s="218"/>
      <c r="E19" s="218"/>
      <c r="F19" s="238"/>
      <c r="G19" s="37" t="s">
        <v>10</v>
      </c>
      <c r="H19" s="27"/>
      <c r="I19" s="27"/>
      <c r="J19" s="27"/>
      <c r="K19" s="28"/>
      <c r="M19" s="5"/>
    </row>
    <row r="20" spans="2:13" ht="30" customHeight="1" thickBot="1" x14ac:dyDescent="0.25">
      <c r="B20" s="214"/>
      <c r="C20" s="211"/>
      <c r="D20" s="219"/>
      <c r="E20" s="221"/>
      <c r="F20" s="239"/>
      <c r="G20" s="9" t="s">
        <v>11</v>
      </c>
      <c r="H20" s="29">
        <f>H18*$F$18</f>
        <v>248912.02934116911</v>
      </c>
      <c r="I20" s="29">
        <f>I18*$F$18</f>
        <v>248912.02934116911</v>
      </c>
      <c r="J20" s="29">
        <f>J18*$F$18</f>
        <v>248912.02934116911</v>
      </c>
      <c r="K20" s="30">
        <f>K18*$F$18</f>
        <v>248912.02934116911</v>
      </c>
      <c r="M20" s="5"/>
    </row>
    <row r="21" spans="2:13" ht="30" customHeight="1" x14ac:dyDescent="0.2">
      <c r="B21" s="212" t="s">
        <v>29</v>
      </c>
      <c r="C21" s="262" t="s">
        <v>94</v>
      </c>
      <c r="D21" s="217">
        <f>F21/$K$25</f>
        <v>7.2186805424604627E-3</v>
      </c>
      <c r="E21" s="220">
        <f>D21+E18</f>
        <v>1</v>
      </c>
      <c r="F21" s="237">
        <f>Planilha!J23*(1+E5)</f>
        <v>7526.1510434640713</v>
      </c>
      <c r="G21" s="8" t="s">
        <v>38</v>
      </c>
      <c r="H21" s="25"/>
      <c r="I21" s="25">
        <v>0.15</v>
      </c>
      <c r="J21" s="25">
        <v>0.15</v>
      </c>
      <c r="K21" s="26">
        <v>0.7</v>
      </c>
      <c r="M21" s="5"/>
    </row>
    <row r="22" spans="2:13" ht="9.9499999999999993" customHeight="1" x14ac:dyDescent="0.2">
      <c r="B22" s="213"/>
      <c r="C22" s="210"/>
      <c r="D22" s="218"/>
      <c r="E22" s="218"/>
      <c r="F22" s="238"/>
      <c r="G22" s="37" t="s">
        <v>10</v>
      </c>
      <c r="H22" s="31"/>
      <c r="I22" s="140"/>
      <c r="J22" s="140"/>
      <c r="K22" s="144"/>
      <c r="M22" s="5"/>
    </row>
    <row r="23" spans="2:13" ht="30" customHeight="1" thickBot="1" x14ac:dyDescent="0.25">
      <c r="B23" s="214"/>
      <c r="C23" s="211"/>
      <c r="D23" s="219"/>
      <c r="E23" s="221"/>
      <c r="F23" s="239"/>
      <c r="G23" s="9" t="s">
        <v>11</v>
      </c>
      <c r="H23" s="32"/>
      <c r="I23" s="29">
        <f>I21*$F$21</f>
        <v>1128.9226565196107</v>
      </c>
      <c r="J23" s="29">
        <f>J21*$F$21</f>
        <v>1128.9226565196107</v>
      </c>
      <c r="K23" s="30">
        <f>K21*$F$21</f>
        <v>5268.3057304248496</v>
      </c>
      <c r="M23" s="5"/>
    </row>
    <row r="24" spans="2:13" ht="24.95" customHeight="1" x14ac:dyDescent="0.2">
      <c r="B24" s="18"/>
      <c r="C24" s="263" t="s">
        <v>6</v>
      </c>
      <c r="D24" s="264"/>
      <c r="E24" s="264"/>
      <c r="F24" s="265"/>
      <c r="G24" s="7" t="s">
        <v>11</v>
      </c>
      <c r="H24" s="33">
        <f>SUM(H14,H11,H17,H20)</f>
        <v>263836.05240317772</v>
      </c>
      <c r="I24" s="33">
        <f>SUM(I23,I17,I20,I11)</f>
        <v>258887.95093335136</v>
      </c>
      <c r="J24" s="33">
        <f>SUM(,J23,J20,J11)</f>
        <v>257865.16978761504</v>
      </c>
      <c r="K24" s="145">
        <f>SUM(,K23,K20,K11)</f>
        <v>262004.55286152029</v>
      </c>
      <c r="M24" s="5"/>
    </row>
    <row r="25" spans="2:13" ht="24.95" customHeight="1" x14ac:dyDescent="0.2">
      <c r="B25" s="19"/>
      <c r="C25" s="256" t="s">
        <v>7</v>
      </c>
      <c r="D25" s="257"/>
      <c r="E25" s="258"/>
      <c r="F25" s="160">
        <f>SUM(F9:F23)</f>
        <v>1042593.7259856644</v>
      </c>
      <c r="G25" s="44" t="s">
        <v>11</v>
      </c>
      <c r="H25" s="43">
        <f>H24</f>
        <v>263836.05240317772</v>
      </c>
      <c r="I25" s="43">
        <f>H25+I24</f>
        <v>522724.00333652907</v>
      </c>
      <c r="J25" s="43">
        <f>I25+J24</f>
        <v>780589.17312414409</v>
      </c>
      <c r="K25" s="146">
        <f>J25+K24</f>
        <v>1042593.7259856644</v>
      </c>
      <c r="M25" s="5"/>
    </row>
    <row r="26" spans="2:13" ht="24.95" customHeight="1" x14ac:dyDescent="0.2">
      <c r="B26" s="19"/>
      <c r="C26" s="256" t="s">
        <v>8</v>
      </c>
      <c r="D26" s="257"/>
      <c r="E26" s="257"/>
      <c r="F26" s="258"/>
      <c r="G26" s="44" t="s">
        <v>38</v>
      </c>
      <c r="H26" s="34">
        <f>H25/$F$25</f>
        <v>0.25305739505937275</v>
      </c>
      <c r="I26" s="34">
        <f>I24/F25</f>
        <v>0.24831144143765072</v>
      </c>
      <c r="J26" s="34">
        <f>J24/F25</f>
        <v>0.24733044460231163</v>
      </c>
      <c r="K26" s="35">
        <f>K24/F25</f>
        <v>0.25130071890066491</v>
      </c>
      <c r="M26" s="5"/>
    </row>
    <row r="27" spans="2:13" ht="24.95" customHeight="1" thickBot="1" x14ac:dyDescent="0.25">
      <c r="B27" s="20"/>
      <c r="C27" s="259" t="s">
        <v>9</v>
      </c>
      <c r="D27" s="260"/>
      <c r="E27" s="260"/>
      <c r="F27" s="261"/>
      <c r="G27" s="45" t="s">
        <v>38</v>
      </c>
      <c r="H27" s="42">
        <f>H26</f>
        <v>0.25305739505937275</v>
      </c>
      <c r="I27" s="42">
        <f>H27+I26</f>
        <v>0.50136883649702346</v>
      </c>
      <c r="J27" s="42">
        <f>I27+J26</f>
        <v>0.74869928109933515</v>
      </c>
      <c r="K27" s="147">
        <f>J27+K26</f>
        <v>1</v>
      </c>
    </row>
    <row r="28" spans="2:13" ht="24.95" customHeight="1" thickTop="1" thickBot="1" x14ac:dyDescent="0.25">
      <c r="B28" s="11"/>
      <c r="C28" s="12"/>
      <c r="D28" s="4"/>
      <c r="E28" s="13"/>
      <c r="F28" s="11"/>
      <c r="G28" s="11"/>
      <c r="H28" s="14"/>
      <c r="I28" s="14"/>
      <c r="J28" s="14"/>
      <c r="K28" s="14"/>
      <c r="M28" s="5"/>
    </row>
    <row r="29" spans="2:13" ht="17.100000000000001" customHeight="1" x14ac:dyDescent="0.2">
      <c r="C29" s="152" t="s">
        <v>111</v>
      </c>
      <c r="D29" s="153" t="s">
        <v>108</v>
      </c>
      <c r="E29" s="154" t="s">
        <v>109</v>
      </c>
      <c r="F29" s="52"/>
    </row>
    <row r="30" spans="2:13" ht="17.100000000000001" customHeight="1" x14ac:dyDescent="0.2">
      <c r="C30" s="155" t="s">
        <v>103</v>
      </c>
      <c r="D30" s="151">
        <f>E30/$F$25</f>
        <v>0.25305739505937275</v>
      </c>
      <c r="E30" s="156">
        <f>H24</f>
        <v>263836.05240317772</v>
      </c>
    </row>
    <row r="31" spans="2:13" ht="17.100000000000001" customHeight="1" x14ac:dyDescent="0.2">
      <c r="C31" s="155" t="s">
        <v>104</v>
      </c>
      <c r="D31" s="151">
        <f t="shared" ref="D31:D34" si="0">E31/$F$25</f>
        <v>0.24831144143765072</v>
      </c>
      <c r="E31" s="156">
        <f>I24</f>
        <v>258887.95093335136</v>
      </c>
    </row>
    <row r="32" spans="2:13" ht="17.100000000000001" customHeight="1" x14ac:dyDescent="0.2">
      <c r="C32" s="155" t="s">
        <v>105</v>
      </c>
      <c r="D32" s="151">
        <f t="shared" si="0"/>
        <v>0.24733044460231163</v>
      </c>
      <c r="E32" s="156">
        <f>J24</f>
        <v>257865.16978761504</v>
      </c>
    </row>
    <row r="33" spans="3:10" ht="17.100000000000001" customHeight="1" x14ac:dyDescent="0.2">
      <c r="C33" s="155" t="s">
        <v>106</v>
      </c>
      <c r="D33" s="151">
        <f t="shared" si="0"/>
        <v>0.1513007189006649</v>
      </c>
      <c r="E33" s="156">
        <f>K24-E34</f>
        <v>157745.18026295386</v>
      </c>
    </row>
    <row r="34" spans="3:10" ht="17.100000000000001" customHeight="1" thickBot="1" x14ac:dyDescent="0.25">
      <c r="C34" s="157" t="s">
        <v>107</v>
      </c>
      <c r="D34" s="158">
        <f t="shared" si="0"/>
        <v>0.1</v>
      </c>
      <c r="E34" s="159">
        <f>F25*0.1</f>
        <v>104259.37259856645</v>
      </c>
      <c r="J34" s="15"/>
    </row>
    <row r="35" spans="3:10" ht="16.5" thickBot="1" x14ac:dyDescent="0.25">
      <c r="C35" s="149" t="s">
        <v>110</v>
      </c>
      <c r="D35" s="150">
        <f>SUM(D30:D34)</f>
        <v>1</v>
      </c>
      <c r="E35" s="148">
        <f>SUM(E30:E34)</f>
        <v>1042593.7259856644</v>
      </c>
    </row>
  </sheetData>
  <mergeCells count="42">
    <mergeCell ref="C26:F26"/>
    <mergeCell ref="C27:F27"/>
    <mergeCell ref="B21:B23"/>
    <mergeCell ref="C21:C23"/>
    <mergeCell ref="D21:D23"/>
    <mergeCell ref="E21:E23"/>
    <mergeCell ref="F21:F23"/>
    <mergeCell ref="C24:F24"/>
    <mergeCell ref="B18:B20"/>
    <mergeCell ref="C18:C20"/>
    <mergeCell ref="D18:D20"/>
    <mergeCell ref="E18:E20"/>
    <mergeCell ref="C25:E25"/>
    <mergeCell ref="F18:F20"/>
    <mergeCell ref="B3:C3"/>
    <mergeCell ref="E3:K3"/>
    <mergeCell ref="B4:C5"/>
    <mergeCell ref="B9:B11"/>
    <mergeCell ref="C9:C11"/>
    <mergeCell ref="D9:D11"/>
    <mergeCell ref="E9:E11"/>
    <mergeCell ref="F9:F11"/>
    <mergeCell ref="B6:B7"/>
    <mergeCell ref="C6:C7"/>
    <mergeCell ref="B15:B17"/>
    <mergeCell ref="C15:C17"/>
    <mergeCell ref="D15:D17"/>
    <mergeCell ref="E15:E17"/>
    <mergeCell ref="F15:F17"/>
    <mergeCell ref="F12:F14"/>
    <mergeCell ref="C12:C14"/>
    <mergeCell ref="B12:B14"/>
    <mergeCell ref="L2:U2"/>
    <mergeCell ref="D12:D14"/>
    <mergeCell ref="E12:E14"/>
    <mergeCell ref="E4:G4"/>
    <mergeCell ref="E5:G5"/>
    <mergeCell ref="E6:E7"/>
    <mergeCell ref="F6:F7"/>
    <mergeCell ref="G6:G7"/>
    <mergeCell ref="B2:K2"/>
    <mergeCell ref="D6:D7"/>
  </mergeCells>
  <pageMargins left="0.47" right="0.13" top="0.92" bottom="0.31496062992125984" header="0.31496062992125984" footer="0.31496062992125984"/>
  <pageSetup paperSize="8" scale="49" orientation="landscape" r:id="rId1"/>
  <ignoredErrors>
    <ignoredError sqref="H26:K26" formula="1"/>
    <ignoredError sqref="D9:F17 D19:F23 D18:E1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T41"/>
  <sheetViews>
    <sheetView topLeftCell="A3" workbookViewId="0">
      <selection activeCell="G30" sqref="G30"/>
    </sheetView>
  </sheetViews>
  <sheetFormatPr defaultRowHeight="12.75" x14ac:dyDescent="0.2"/>
  <cols>
    <col min="3" max="3" width="6.42578125" bestFit="1" customWidth="1"/>
    <col min="5" max="5" width="48.140625" bestFit="1" customWidth="1"/>
  </cols>
  <sheetData>
    <row r="3" spans="3:10" ht="13.5" thickBot="1" x14ac:dyDescent="0.25"/>
    <row r="4" spans="3:10" x14ac:dyDescent="0.2">
      <c r="C4" s="162"/>
      <c r="D4" s="163"/>
      <c r="E4" s="163"/>
      <c r="F4" s="163"/>
      <c r="G4" s="163"/>
      <c r="H4" s="163"/>
      <c r="I4" s="163"/>
      <c r="J4" s="164"/>
    </row>
    <row r="5" spans="3:10" x14ac:dyDescent="0.2">
      <c r="C5" s="165"/>
      <c r="D5" s="166"/>
      <c r="E5" s="166"/>
      <c r="F5" s="166"/>
      <c r="G5" s="166"/>
      <c r="H5" s="166"/>
      <c r="I5" s="166"/>
      <c r="J5" s="167"/>
    </row>
    <row r="6" spans="3:10" x14ac:dyDescent="0.2">
      <c r="C6" s="165"/>
      <c r="D6" s="166"/>
      <c r="E6" s="166"/>
      <c r="F6" s="166"/>
      <c r="G6" s="166"/>
      <c r="H6" s="166"/>
      <c r="I6" s="166"/>
      <c r="J6" s="167"/>
    </row>
    <row r="7" spans="3:10" x14ac:dyDescent="0.2">
      <c r="C7" s="165"/>
      <c r="D7" s="166"/>
      <c r="E7" s="166"/>
      <c r="F7" s="166"/>
      <c r="G7" s="166"/>
      <c r="H7" s="166"/>
      <c r="I7" s="166"/>
      <c r="J7" s="167"/>
    </row>
    <row r="8" spans="3:10" x14ac:dyDescent="0.2">
      <c r="C8" s="165"/>
      <c r="D8" s="166"/>
      <c r="E8" s="166"/>
      <c r="F8" s="166"/>
      <c r="G8" s="166"/>
      <c r="H8" s="166"/>
      <c r="I8" s="166"/>
      <c r="J8" s="167"/>
    </row>
    <row r="9" spans="3:10" ht="13.5" thickBot="1" x14ac:dyDescent="0.25">
      <c r="C9" s="168"/>
      <c r="D9" s="169"/>
      <c r="E9" s="169"/>
      <c r="F9" s="169"/>
      <c r="G9" s="169"/>
      <c r="H9" s="169"/>
      <c r="I9" s="169"/>
      <c r="J9" s="170"/>
    </row>
    <row r="10" spans="3:10" ht="15.75" thickBot="1" x14ac:dyDescent="0.3">
      <c r="C10" s="171" t="s">
        <v>112</v>
      </c>
      <c r="D10" s="172">
        <f>(((((1+D12/100)*(1+D13/100)*(1+D14/100)*(1+D15/100))/(1-(D16/100))-1)*100))/100</f>
        <v>0.37218831812106812</v>
      </c>
      <c r="E10" s="173"/>
      <c r="F10" s="173"/>
      <c r="G10" s="173"/>
      <c r="H10" s="173"/>
      <c r="I10" s="173"/>
      <c r="J10" s="174"/>
    </row>
    <row r="11" spans="3:10" x14ac:dyDescent="0.2">
      <c r="C11" s="162" t="s">
        <v>113</v>
      </c>
      <c r="D11" s="163"/>
      <c r="E11" s="163"/>
      <c r="F11" s="163"/>
      <c r="G11" s="163"/>
      <c r="H11" s="163"/>
      <c r="I11" s="163"/>
      <c r="J11" s="164"/>
    </row>
    <row r="12" spans="3:10" ht="15" x14ac:dyDescent="0.2">
      <c r="C12" s="175" t="s">
        <v>114</v>
      </c>
      <c r="D12" s="176">
        <v>5</v>
      </c>
      <c r="E12" s="166" t="s">
        <v>115</v>
      </c>
      <c r="F12" s="166"/>
      <c r="G12" s="166"/>
      <c r="H12" s="166"/>
      <c r="I12" s="166"/>
      <c r="J12" s="167"/>
    </row>
    <row r="13" spans="3:10" ht="15" x14ac:dyDescent="0.2">
      <c r="C13" s="175" t="s">
        <v>116</v>
      </c>
      <c r="D13" s="176">
        <v>1.23</v>
      </c>
      <c r="E13" s="166" t="s">
        <v>117</v>
      </c>
      <c r="F13" s="166"/>
      <c r="G13" s="166"/>
      <c r="H13" s="166"/>
      <c r="I13" s="166"/>
      <c r="J13" s="167"/>
    </row>
    <row r="14" spans="3:10" ht="15" x14ac:dyDescent="0.2">
      <c r="C14" s="175" t="s">
        <v>118</v>
      </c>
      <c r="D14" s="176">
        <v>1.27</v>
      </c>
      <c r="E14" s="166" t="s">
        <v>119</v>
      </c>
      <c r="F14" s="166"/>
      <c r="G14" s="166"/>
      <c r="H14" s="166"/>
      <c r="I14" s="166"/>
      <c r="J14" s="167"/>
    </row>
    <row r="15" spans="3:10" ht="15" x14ac:dyDescent="0.2">
      <c r="C15" s="175" t="s">
        <v>120</v>
      </c>
      <c r="D15" s="176">
        <v>7.4</v>
      </c>
      <c r="E15" s="166" t="s">
        <v>121</v>
      </c>
      <c r="F15" s="166"/>
      <c r="G15" s="166"/>
      <c r="H15" s="166"/>
      <c r="I15" s="166"/>
      <c r="J15" s="167"/>
    </row>
    <row r="16" spans="3:10" ht="15.75" thickBot="1" x14ac:dyDescent="0.25">
      <c r="C16" s="177" t="s">
        <v>122</v>
      </c>
      <c r="D16" s="178">
        <v>15.75</v>
      </c>
      <c r="E16" s="169" t="s">
        <v>127</v>
      </c>
      <c r="F16" s="169"/>
      <c r="G16" s="169"/>
      <c r="H16" s="169"/>
      <c r="I16" s="169"/>
      <c r="J16" s="170"/>
    </row>
    <row r="17" spans="3:20" x14ac:dyDescent="0.2">
      <c r="C17" s="2"/>
    </row>
    <row r="18" spans="3:20" x14ac:dyDescent="0.2">
      <c r="C18" s="2"/>
    </row>
    <row r="19" spans="3:20" x14ac:dyDescent="0.2">
      <c r="C19" s="2"/>
    </row>
    <row r="20" spans="3:20" ht="15.75" x14ac:dyDescent="0.2">
      <c r="C20" s="179" t="s">
        <v>44</v>
      </c>
      <c r="D20" s="266" t="s">
        <v>45</v>
      </c>
      <c r="E20" s="266"/>
      <c r="F20" s="267"/>
      <c r="G20" s="85"/>
      <c r="H20" s="86"/>
      <c r="I20" s="87"/>
      <c r="J20" s="87"/>
      <c r="K20" s="87"/>
    </row>
    <row r="21" spans="3:20" ht="15" x14ac:dyDescent="0.25">
      <c r="C21" s="180"/>
      <c r="D21" s="90"/>
      <c r="E21" s="90"/>
      <c r="F21" s="91"/>
      <c r="G21" s="88"/>
      <c r="H21" s="88"/>
      <c r="I21" s="87"/>
      <c r="J21" s="87"/>
      <c r="K21" s="87"/>
    </row>
    <row r="22" spans="3:20" ht="15" x14ac:dyDescent="0.25">
      <c r="C22" s="268" t="s">
        <v>46</v>
      </c>
      <c r="D22" s="269"/>
      <c r="E22" s="269" t="s">
        <v>47</v>
      </c>
      <c r="F22" s="270"/>
      <c r="G22" s="88"/>
      <c r="H22" s="88"/>
      <c r="I22" s="87"/>
      <c r="J22" s="87"/>
      <c r="K22" s="87"/>
    </row>
    <row r="23" spans="3:20" ht="15" x14ac:dyDescent="0.2">
      <c r="C23" s="92" t="s">
        <v>48</v>
      </c>
      <c r="D23" s="92"/>
      <c r="E23" s="92" t="s">
        <v>49</v>
      </c>
      <c r="F23" s="92"/>
      <c r="G23" s="93"/>
      <c r="H23" s="94"/>
      <c r="I23" s="87"/>
      <c r="J23" s="87"/>
      <c r="K23" s="87"/>
    </row>
    <row r="24" spans="3:20" ht="15" x14ac:dyDescent="0.2">
      <c r="C24" s="181"/>
      <c r="D24" s="96">
        <v>1</v>
      </c>
      <c r="E24" s="97" t="s">
        <v>50</v>
      </c>
      <c r="F24" s="98">
        <v>0.04</v>
      </c>
      <c r="P24" s="99">
        <v>0.04</v>
      </c>
      <c r="Q24" s="182"/>
      <c r="R24" s="182"/>
      <c r="S24" s="182"/>
      <c r="T24" s="87"/>
    </row>
    <row r="25" spans="3:20" ht="15" x14ac:dyDescent="0.2">
      <c r="C25" s="181"/>
      <c r="D25" s="96">
        <v>2</v>
      </c>
      <c r="E25" s="97" t="s">
        <v>52</v>
      </c>
      <c r="F25" s="98">
        <v>0.01</v>
      </c>
      <c r="P25" s="99">
        <v>0.01</v>
      </c>
      <c r="Q25" s="182"/>
      <c r="R25" s="182"/>
      <c r="S25" s="182"/>
      <c r="T25" s="87"/>
    </row>
    <row r="26" spans="3:20" ht="15" x14ac:dyDescent="0.2">
      <c r="C26" s="181"/>
      <c r="D26" s="96">
        <v>3</v>
      </c>
      <c r="E26" s="97" t="s">
        <v>53</v>
      </c>
      <c r="F26" s="98">
        <v>1.2699999999999999E-2</v>
      </c>
      <c r="P26" s="99">
        <v>1.273E-2</v>
      </c>
      <c r="Q26" s="182"/>
      <c r="R26" s="182"/>
      <c r="S26" s="182"/>
      <c r="T26" s="87"/>
    </row>
    <row r="27" spans="3:20" ht="15" x14ac:dyDescent="0.2">
      <c r="C27" s="181"/>
      <c r="D27" s="96">
        <v>4</v>
      </c>
      <c r="E27" s="97" t="s">
        <v>54</v>
      </c>
      <c r="F27" s="98">
        <v>1.23E-2</v>
      </c>
      <c r="P27" s="99">
        <v>1.23E-2</v>
      </c>
      <c r="Q27" s="182"/>
      <c r="R27" s="182"/>
      <c r="S27" s="182"/>
      <c r="T27" s="87"/>
    </row>
    <row r="28" spans="3:20" ht="15" x14ac:dyDescent="0.2">
      <c r="C28" s="100"/>
      <c r="D28" s="101"/>
      <c r="E28" s="101"/>
      <c r="F28" s="102">
        <f>SUM(F24:F27)</f>
        <v>7.5000000000000011E-2</v>
      </c>
      <c r="P28" s="93"/>
      <c r="Q28" s="94"/>
      <c r="R28" s="87"/>
      <c r="S28" s="87"/>
      <c r="T28" s="87"/>
    </row>
    <row r="29" spans="3:20" ht="15" x14ac:dyDescent="0.25">
      <c r="C29" s="180"/>
      <c r="D29" s="90"/>
      <c r="E29" s="90"/>
      <c r="F29" s="91"/>
      <c r="P29" s="88"/>
      <c r="Q29" s="88"/>
      <c r="R29" s="87"/>
      <c r="S29" s="87"/>
      <c r="T29" s="87"/>
    </row>
    <row r="30" spans="3:20" ht="15" x14ac:dyDescent="0.25">
      <c r="C30" s="92" t="s">
        <v>55</v>
      </c>
      <c r="D30" s="92"/>
      <c r="E30" s="92" t="s">
        <v>56</v>
      </c>
      <c r="F30" s="92"/>
      <c r="P30" s="88"/>
      <c r="Q30" s="88"/>
      <c r="R30" s="87"/>
      <c r="S30" s="87"/>
      <c r="T30" s="87"/>
    </row>
    <row r="31" spans="3:20" ht="15" x14ac:dyDescent="0.2">
      <c r="C31" s="181"/>
      <c r="D31" s="96">
        <v>1</v>
      </c>
      <c r="E31" s="97" t="s">
        <v>57</v>
      </c>
      <c r="F31" s="98">
        <v>7.5999999999999998E-2</v>
      </c>
      <c r="I31" s="5"/>
      <c r="P31" s="99">
        <v>0.03</v>
      </c>
      <c r="Q31" s="104"/>
      <c r="R31" s="104"/>
      <c r="S31" s="104"/>
      <c r="T31" s="104"/>
    </row>
    <row r="32" spans="3:20" ht="15" x14ac:dyDescent="0.2">
      <c r="C32" s="181"/>
      <c r="D32" s="96">
        <v>2</v>
      </c>
      <c r="E32" s="97" t="s">
        <v>58</v>
      </c>
      <c r="F32" s="98">
        <v>1.6500000000000001E-2</v>
      </c>
      <c r="P32" s="99">
        <v>6.4999999999999997E-3</v>
      </c>
      <c r="Q32" s="104"/>
      <c r="R32" s="104"/>
      <c r="S32" s="104"/>
      <c r="T32" s="104"/>
    </row>
    <row r="33" spans="3:20" ht="15" x14ac:dyDescent="0.2">
      <c r="C33" s="181"/>
      <c r="D33" s="96">
        <v>3</v>
      </c>
      <c r="E33" s="97" t="s">
        <v>59</v>
      </c>
      <c r="F33" s="103">
        <v>0.02</v>
      </c>
      <c r="P33" s="99">
        <v>0.02</v>
      </c>
      <c r="Q33" s="104"/>
      <c r="R33" s="104"/>
      <c r="S33" s="104"/>
      <c r="T33" s="104"/>
    </row>
    <row r="34" spans="3:20" ht="15" x14ac:dyDescent="0.2">
      <c r="C34" s="181"/>
      <c r="D34" s="96">
        <v>4</v>
      </c>
      <c r="E34" s="97" t="s">
        <v>60</v>
      </c>
      <c r="F34" s="103">
        <v>4.4999999999999998E-2</v>
      </c>
      <c r="P34" s="99">
        <v>4.4999999999999998E-2</v>
      </c>
      <c r="Q34" s="104" t="s">
        <v>61</v>
      </c>
      <c r="R34" s="87"/>
      <c r="S34" s="87"/>
      <c r="T34" s="87"/>
    </row>
    <row r="35" spans="3:20" ht="15" x14ac:dyDescent="0.25">
      <c r="C35" s="180"/>
      <c r="D35" s="90"/>
      <c r="E35" s="90"/>
      <c r="F35" s="91"/>
      <c r="P35" s="88"/>
      <c r="Q35" s="88"/>
      <c r="R35" s="88"/>
      <c r="S35" s="88"/>
      <c r="T35" s="88"/>
    </row>
    <row r="36" spans="3:20" ht="15" x14ac:dyDescent="0.25">
      <c r="C36" s="92" t="s">
        <v>62</v>
      </c>
      <c r="D36" s="92"/>
      <c r="E36" s="92" t="s">
        <v>63</v>
      </c>
      <c r="F36" s="105">
        <f>SUM(F31:F34)</f>
        <v>0.1575</v>
      </c>
      <c r="P36" s="88"/>
      <c r="Q36" s="88"/>
      <c r="R36" s="88"/>
      <c r="S36" s="88"/>
      <c r="T36" s="88"/>
    </row>
    <row r="37" spans="3:20" ht="15" x14ac:dyDescent="0.2">
      <c r="C37" s="181"/>
      <c r="D37" s="96">
        <v>1</v>
      </c>
      <c r="E37" s="97" t="s">
        <v>64</v>
      </c>
      <c r="F37" s="98">
        <v>7.3999999999999996E-2</v>
      </c>
      <c r="P37" s="99">
        <v>7.3999999999999996E-2</v>
      </c>
      <c r="Q37" s="271"/>
      <c r="R37" s="271"/>
      <c r="S37" s="271"/>
      <c r="T37" s="271"/>
    </row>
    <row r="38" spans="3:20" ht="15" x14ac:dyDescent="0.25">
      <c r="C38" s="181"/>
      <c r="D38" s="96">
        <v>2</v>
      </c>
      <c r="E38" s="97"/>
      <c r="F38" s="98"/>
      <c r="G38" s="99"/>
      <c r="H38" s="88"/>
      <c r="I38" s="88"/>
      <c r="J38" s="88"/>
      <c r="K38" s="88"/>
    </row>
    <row r="39" spans="3:20" ht="15" x14ac:dyDescent="0.25">
      <c r="C39" s="181"/>
      <c r="D39" s="96">
        <v>3</v>
      </c>
      <c r="E39" s="97"/>
      <c r="F39" s="98"/>
      <c r="G39" s="99"/>
      <c r="H39" s="88"/>
      <c r="I39" s="88"/>
      <c r="J39" s="88"/>
      <c r="K39" s="88"/>
    </row>
    <row r="40" spans="3:20" ht="15" x14ac:dyDescent="0.25">
      <c r="C40" s="181"/>
      <c r="D40" s="96">
        <v>4</v>
      </c>
      <c r="E40" s="97"/>
      <c r="F40" s="98"/>
      <c r="G40" s="99"/>
      <c r="H40" s="88"/>
      <c r="I40" s="88"/>
      <c r="J40" s="88"/>
      <c r="K40" s="88"/>
    </row>
    <row r="41" spans="3:20" ht="15" x14ac:dyDescent="0.25">
      <c r="C41" s="100"/>
      <c r="D41" s="101"/>
      <c r="E41" s="101"/>
      <c r="F41" s="102">
        <f>F37</f>
        <v>7.3999999999999996E-2</v>
      </c>
      <c r="G41" s="88"/>
      <c r="H41" s="88"/>
      <c r="I41" s="88"/>
      <c r="J41" s="88"/>
      <c r="K41" s="110"/>
    </row>
  </sheetData>
  <mergeCells count="4">
    <mergeCell ref="D20:F20"/>
    <mergeCell ref="C22:D22"/>
    <mergeCell ref="E22:F22"/>
    <mergeCell ref="Q37:T37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zoomScaleNormal="100" zoomScaleSheetLayoutView="110" workbookViewId="0">
      <selection activeCell="G25" sqref="G25"/>
    </sheetView>
  </sheetViews>
  <sheetFormatPr defaultRowHeight="12.75" x14ac:dyDescent="0.2"/>
  <cols>
    <col min="1" max="2" width="9.140625" style="87"/>
    <col min="3" max="3" width="7.140625" style="87" customWidth="1"/>
    <col min="4" max="4" width="48.7109375" style="87" customWidth="1"/>
    <col min="5" max="16384" width="9.140625" style="87"/>
  </cols>
  <sheetData>
    <row r="2" spans="2:14" ht="27.75" customHeight="1" x14ac:dyDescent="0.2">
      <c r="B2" s="84" t="s">
        <v>44</v>
      </c>
      <c r="C2" s="266" t="s">
        <v>45</v>
      </c>
      <c r="D2" s="266"/>
      <c r="E2" s="267"/>
      <c r="F2" s="85"/>
      <c r="G2" s="86"/>
    </row>
    <row r="3" spans="2:14" ht="15" x14ac:dyDescent="0.25">
      <c r="B3" s="89"/>
      <c r="C3" s="90"/>
      <c r="D3" s="90"/>
      <c r="E3" s="91"/>
      <c r="F3" s="88"/>
      <c r="G3" s="88"/>
    </row>
    <row r="4" spans="2:14" ht="15" x14ac:dyDescent="0.25">
      <c r="B4" s="268" t="s">
        <v>46</v>
      </c>
      <c r="C4" s="269"/>
      <c r="D4" s="269" t="s">
        <v>47</v>
      </c>
      <c r="E4" s="270"/>
      <c r="F4" s="88"/>
      <c r="G4" s="88"/>
    </row>
    <row r="5" spans="2:14" ht="15" x14ac:dyDescent="0.2">
      <c r="B5" s="92" t="s">
        <v>48</v>
      </c>
      <c r="C5" s="92"/>
      <c r="D5" s="92" t="s">
        <v>49</v>
      </c>
      <c r="E5" s="92"/>
      <c r="F5" s="93"/>
      <c r="G5" s="94"/>
    </row>
    <row r="6" spans="2:14" ht="15" x14ac:dyDescent="0.2">
      <c r="B6" s="95"/>
      <c r="C6" s="96">
        <v>1</v>
      </c>
      <c r="D6" s="97" t="s">
        <v>50</v>
      </c>
      <c r="E6" s="98">
        <v>0.04</v>
      </c>
      <c r="F6" s="99">
        <v>0.04</v>
      </c>
      <c r="G6" s="272" t="s">
        <v>71</v>
      </c>
      <c r="H6" s="272"/>
      <c r="I6" s="272"/>
    </row>
    <row r="7" spans="2:14" ht="15" x14ac:dyDescent="0.2">
      <c r="B7" s="95"/>
      <c r="C7" s="96">
        <v>2</v>
      </c>
      <c r="D7" s="97" t="s">
        <v>52</v>
      </c>
      <c r="E7" s="98">
        <v>0.01</v>
      </c>
      <c r="F7" s="99">
        <v>0.01</v>
      </c>
      <c r="G7" s="272"/>
      <c r="H7" s="272"/>
      <c r="I7" s="272"/>
    </row>
    <row r="8" spans="2:14" ht="15" x14ac:dyDescent="0.2">
      <c r="B8" s="95"/>
      <c r="C8" s="96">
        <v>3</v>
      </c>
      <c r="D8" s="97" t="s">
        <v>53</v>
      </c>
      <c r="E8" s="98">
        <v>1.2699999999999999E-2</v>
      </c>
      <c r="F8" s="99">
        <v>1.273E-2</v>
      </c>
      <c r="G8" s="272"/>
      <c r="H8" s="272"/>
      <c r="I8" s="272"/>
    </row>
    <row r="9" spans="2:14" ht="15" x14ac:dyDescent="0.2">
      <c r="B9" s="95"/>
      <c r="C9" s="96">
        <v>4</v>
      </c>
      <c r="D9" s="97" t="s">
        <v>54</v>
      </c>
      <c r="E9" s="98">
        <v>1.23E-2</v>
      </c>
      <c r="F9" s="99">
        <v>1.23E-2</v>
      </c>
      <c r="G9" s="272"/>
      <c r="H9" s="272"/>
      <c r="I9" s="272"/>
    </row>
    <row r="10" spans="2:14" ht="15" x14ac:dyDescent="0.2">
      <c r="B10" s="100"/>
      <c r="C10" s="101"/>
      <c r="D10" s="101"/>
      <c r="E10" s="102"/>
      <c r="F10" s="93"/>
      <c r="G10" s="94"/>
    </row>
    <row r="11" spans="2:14" ht="15" x14ac:dyDescent="0.25">
      <c r="B11" s="89"/>
      <c r="C11" s="90"/>
      <c r="D11" s="90"/>
      <c r="E11" s="91"/>
      <c r="F11" s="88"/>
      <c r="G11" s="88"/>
    </row>
    <row r="12" spans="2:14" ht="15" x14ac:dyDescent="0.25">
      <c r="B12" s="92" t="s">
        <v>55</v>
      </c>
      <c r="C12" s="92"/>
      <c r="D12" s="92" t="s">
        <v>56</v>
      </c>
      <c r="E12" s="92"/>
      <c r="F12" s="88"/>
      <c r="G12" s="88"/>
    </row>
    <row r="13" spans="2:14" ht="15" x14ac:dyDescent="0.2">
      <c r="B13" s="95"/>
      <c r="C13" s="96">
        <v>1</v>
      </c>
      <c r="D13" s="97" t="s">
        <v>57</v>
      </c>
      <c r="E13" s="98">
        <v>7.5999999999999998E-2</v>
      </c>
      <c r="F13" s="99">
        <v>0.03</v>
      </c>
      <c r="G13" s="271"/>
      <c r="H13" s="271"/>
      <c r="I13" s="271"/>
      <c r="J13" s="271"/>
      <c r="K13" s="271"/>
      <c r="L13" s="271"/>
      <c r="M13" s="271"/>
      <c r="N13" s="271"/>
    </row>
    <row r="14" spans="2:14" ht="15" x14ac:dyDescent="0.2">
      <c r="B14" s="95"/>
      <c r="C14" s="96">
        <v>2</v>
      </c>
      <c r="D14" s="97" t="s">
        <v>58</v>
      </c>
      <c r="E14" s="98">
        <v>1.6500000000000001E-2</v>
      </c>
      <c r="F14" s="99">
        <v>6.4999999999999997E-3</v>
      </c>
      <c r="G14" s="271"/>
      <c r="H14" s="271"/>
      <c r="I14" s="271"/>
      <c r="J14" s="271"/>
      <c r="K14" s="271"/>
      <c r="L14" s="271"/>
      <c r="M14" s="271"/>
      <c r="N14" s="271"/>
    </row>
    <row r="15" spans="2:14" ht="15" x14ac:dyDescent="0.2">
      <c r="B15" s="95"/>
      <c r="C15" s="96">
        <v>3</v>
      </c>
      <c r="D15" s="97" t="s">
        <v>59</v>
      </c>
      <c r="E15" s="103">
        <v>0.02</v>
      </c>
      <c r="F15" s="99">
        <v>0.01</v>
      </c>
      <c r="G15" s="271"/>
      <c r="H15" s="271"/>
      <c r="I15" s="271"/>
      <c r="J15" s="271"/>
      <c r="K15" s="271"/>
      <c r="L15" s="271"/>
      <c r="M15" s="271"/>
      <c r="N15" s="271"/>
    </row>
    <row r="16" spans="2:14" ht="15" x14ac:dyDescent="0.2">
      <c r="B16" s="95"/>
      <c r="C16" s="96">
        <v>4</v>
      </c>
      <c r="D16" s="97" t="s">
        <v>60</v>
      </c>
      <c r="E16" s="103">
        <v>4.4999999999999998E-2</v>
      </c>
      <c r="F16" s="99">
        <v>0.02</v>
      </c>
      <c r="G16" s="104" t="s">
        <v>61</v>
      </c>
    </row>
    <row r="17" spans="2:10" ht="15" x14ac:dyDescent="0.25">
      <c r="B17" s="89"/>
      <c r="C17" s="90"/>
      <c r="D17" s="90"/>
      <c r="E17" s="91"/>
      <c r="F17" s="88"/>
      <c r="G17" s="88"/>
      <c r="H17" s="88"/>
      <c r="I17" s="88"/>
      <c r="J17" s="88"/>
    </row>
    <row r="18" spans="2:10" ht="15" x14ac:dyDescent="0.25">
      <c r="B18" s="92" t="s">
        <v>62</v>
      </c>
      <c r="C18" s="92"/>
      <c r="D18" s="92" t="s">
        <v>63</v>
      </c>
      <c r="E18" s="105"/>
      <c r="F18" s="88"/>
      <c r="G18" s="88"/>
      <c r="H18" s="88"/>
      <c r="I18" s="88"/>
      <c r="J18" s="88"/>
    </row>
    <row r="19" spans="2:10" ht="15" x14ac:dyDescent="0.2">
      <c r="B19" s="95"/>
      <c r="C19" s="96">
        <v>1</v>
      </c>
      <c r="D19" s="97" t="s">
        <v>64</v>
      </c>
      <c r="E19" s="98">
        <v>7.3999999999999996E-2</v>
      </c>
      <c r="F19" s="99">
        <v>7.3999999999999996E-2</v>
      </c>
      <c r="G19" s="271" t="s">
        <v>51</v>
      </c>
      <c r="H19" s="271"/>
      <c r="I19" s="271"/>
      <c r="J19" s="271"/>
    </row>
    <row r="20" spans="2:10" ht="15" x14ac:dyDescent="0.25">
      <c r="B20" s="95"/>
      <c r="C20" s="96">
        <v>2</v>
      </c>
      <c r="D20" s="97"/>
      <c r="E20" s="98"/>
      <c r="F20" s="99"/>
      <c r="G20" s="88"/>
      <c r="H20" s="88"/>
      <c r="I20" s="88"/>
      <c r="J20" s="88"/>
    </row>
    <row r="21" spans="2:10" ht="15" x14ac:dyDescent="0.25">
      <c r="B21" s="95"/>
      <c r="C21" s="96">
        <v>3</v>
      </c>
      <c r="D21" s="97"/>
      <c r="E21" s="98"/>
      <c r="F21" s="99"/>
      <c r="G21" s="88"/>
      <c r="H21" s="88"/>
      <c r="I21" s="88"/>
      <c r="J21" s="88"/>
    </row>
    <row r="22" spans="2:10" ht="15" x14ac:dyDescent="0.25">
      <c r="B22" s="95"/>
      <c r="C22" s="96">
        <v>4</v>
      </c>
      <c r="D22" s="97"/>
      <c r="E22" s="98"/>
      <c r="F22" s="99"/>
      <c r="G22" s="88"/>
      <c r="H22" s="88"/>
      <c r="I22" s="88"/>
      <c r="J22" s="88"/>
    </row>
    <row r="23" spans="2:10" ht="15" x14ac:dyDescent="0.25">
      <c r="B23" s="100"/>
      <c r="C23" s="101"/>
      <c r="D23" s="101"/>
      <c r="E23" s="102"/>
      <c r="F23" s="88"/>
      <c r="G23" s="88"/>
      <c r="H23" s="88"/>
      <c r="I23" s="88"/>
      <c r="J23" s="110"/>
    </row>
    <row r="24" spans="2:10" ht="15" x14ac:dyDescent="0.25">
      <c r="B24" s="106"/>
      <c r="C24" s="107"/>
      <c r="D24" s="107"/>
      <c r="E24" s="108"/>
      <c r="F24" s="88"/>
      <c r="G24" s="88"/>
      <c r="H24" s="88"/>
      <c r="I24" s="88"/>
      <c r="J24" s="88"/>
    </row>
    <row r="25" spans="2:10" ht="36" customHeight="1" x14ac:dyDescent="0.25">
      <c r="B25" s="100"/>
      <c r="C25" s="101"/>
      <c r="D25" s="101" t="s">
        <v>44</v>
      </c>
      <c r="E25" s="161"/>
      <c r="F25" s="109"/>
      <c r="G25" s="88"/>
      <c r="H25" s="88"/>
      <c r="I25" s="88"/>
      <c r="J25" s="104"/>
    </row>
  </sheetData>
  <mergeCells count="6">
    <mergeCell ref="G19:J19"/>
    <mergeCell ref="C2:E2"/>
    <mergeCell ref="B4:C4"/>
    <mergeCell ref="D4:E4"/>
    <mergeCell ref="G6:I9"/>
    <mergeCell ref="G13:N15"/>
  </mergeCells>
  <pageMargins left="1.28" right="0.511811024" top="1.08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F18"/>
  <sheetViews>
    <sheetView workbookViewId="0">
      <selection activeCell="K27" sqref="K27"/>
    </sheetView>
  </sheetViews>
  <sheetFormatPr defaultRowHeight="12.75" x14ac:dyDescent="0.2"/>
  <sheetData>
    <row r="7" spans="4:6" x14ac:dyDescent="0.2">
      <c r="E7">
        <f>29*8</f>
        <v>232</v>
      </c>
    </row>
    <row r="8" spans="4:6" x14ac:dyDescent="0.2">
      <c r="E8">
        <f>22*8</f>
        <v>176</v>
      </c>
    </row>
    <row r="9" spans="4:6" x14ac:dyDescent="0.2">
      <c r="E9">
        <f>13*6</f>
        <v>78</v>
      </c>
    </row>
    <row r="10" spans="4:6" x14ac:dyDescent="0.2">
      <c r="E10">
        <f>21*6</f>
        <v>126</v>
      </c>
    </row>
    <row r="11" spans="4:6" x14ac:dyDescent="0.2">
      <c r="E11">
        <f>SUM(E7:E10)</f>
        <v>612</v>
      </c>
      <c r="F11" t="s">
        <v>135</v>
      </c>
    </row>
    <row r="13" spans="4:6" x14ac:dyDescent="0.2">
      <c r="D13" t="s">
        <v>136</v>
      </c>
      <c r="E13">
        <f>400*8</f>
        <v>3200</v>
      </c>
      <c r="F13" t="s">
        <v>137</v>
      </c>
    </row>
    <row r="15" spans="4:6" x14ac:dyDescent="0.2">
      <c r="D15" t="s">
        <v>138</v>
      </c>
      <c r="E15">
        <v>0.02</v>
      </c>
    </row>
    <row r="16" spans="4:6" x14ac:dyDescent="0.2">
      <c r="D16" t="s">
        <v>139</v>
      </c>
      <c r="E16">
        <v>0.01</v>
      </c>
    </row>
    <row r="18" spans="3:6" x14ac:dyDescent="0.2">
      <c r="C18" t="s">
        <v>140</v>
      </c>
      <c r="E18">
        <f>E16*E15*E13</f>
        <v>0.64</v>
      </c>
      <c r="F18" t="s">
        <v>141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Planilha</vt:lpstr>
      <vt:lpstr>Cronograma</vt:lpstr>
      <vt:lpstr>BDI</vt:lpstr>
      <vt:lpstr>OUTROS</vt:lpstr>
      <vt:lpstr>Plan1</vt:lpstr>
      <vt:lpstr>Cronograma!Area_de_impressao</vt:lpstr>
      <vt:lpstr>OUTROS!Area_de_impressao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SUELENE</dc:creator>
  <cp:lastModifiedBy>clau.ferreira</cp:lastModifiedBy>
  <cp:lastPrinted>2015-06-12T19:08:55Z</cp:lastPrinted>
  <dcterms:created xsi:type="dcterms:W3CDTF">2010-09-26T15:44:44Z</dcterms:created>
  <dcterms:modified xsi:type="dcterms:W3CDTF">2016-10-06T17:32:49Z</dcterms:modified>
</cp:coreProperties>
</file>